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Inputs" sheetId="2" state="visible" r:id="rId2"/>
    <sheet name="Unit economics" sheetId="3" state="visible" r:id="rId3"/>
    <sheet name="1,000 families" sheetId="4" state="visible" r:id="rId4"/>
    <sheet name="Plan 18m" sheetId="5" state="visible" r:id="rId5"/>
    <sheet name="Use of funds" sheetId="6" state="visible" r:id="rId6"/>
  </sheets>
  <definedNames/>
  <calcPr calcId="124519" fullCalcOnLoad="1"/>
</workbook>
</file>

<file path=xl/styles.xml><?xml version="1.0" encoding="utf-8"?>
<styleSheet xmlns="http://schemas.openxmlformats.org/spreadsheetml/2006/main">
  <numFmts count="8">
    <numFmt numFmtId="164" formatCode="0.0%;(0.0%);&quot;-&quot;"/>
    <numFmt numFmtId="165" formatCode="#,##0.00&quot; zł&quot;;(#,##0.00&quot; zł&quot;);&quot;-&quot;"/>
    <numFmt numFmtId="166" formatCode="#,##0;(#,##0);&quot;-&quot;"/>
    <numFmt numFmtId="167" formatCode="0.0&quot;x&quot;"/>
    <numFmt numFmtId="168" formatCode="&quot;€&quot;#,##0;(&quot;€&quot;#,##0);&quot;-&quot;"/>
    <numFmt numFmtId="169" formatCode="#,##0&quot; zł&quot;;(#,##0&quot; zł&quot;);&quot;-&quot;"/>
    <numFmt numFmtId="170" formatCode="#,##0.0;(#,##0.0);&quot;-&quot;"/>
    <numFmt numFmtId="171" formatCode="&quot;€&quot;0.00"/>
  </numFmts>
  <fonts count="9">
    <font>
      <name val="Calibri"/>
      <family val="2"/>
      <color theme="1"/>
      <sz val="11"/>
      <scheme val="minor"/>
    </font>
    <font>
      <name val="Arial"/>
      <b val="1"/>
      <sz val="14"/>
    </font>
    <font>
      <name val="Arial"/>
    </font>
    <font>
      <name val="Arial"/>
      <b val="1"/>
      <color rgb="00173058"/>
      <sz val="11"/>
    </font>
    <font>
      <name val="Arial"/>
      <b val="1"/>
    </font>
    <font>
      <name val="Arial"/>
      <i val="1"/>
      <color rgb="00555555"/>
      <sz val="9"/>
    </font>
    <font>
      <name val="Arial"/>
      <color rgb="000000FF"/>
    </font>
    <font>
      <name val="Arial"/>
      <color rgb="00008000"/>
    </font>
    <font>
      <name val="Arial"/>
      <color theme="1"/>
      <sz val="11"/>
    </font>
  </fonts>
  <fills count="5">
    <fill>
      <patternFill/>
    </fill>
    <fill>
      <patternFill patternType="gray125"/>
    </fill>
    <fill>
      <patternFill patternType="solid">
        <fgColor rgb="00E8EEF9"/>
      </patternFill>
    </fill>
    <fill>
      <patternFill patternType="solid">
        <fgColor rgb="00FFFF00"/>
      </patternFill>
    </fill>
    <fill>
      <patternFill patternType="solid">
        <fgColor rgb="00F3F3F3"/>
      </patternFill>
    </fill>
  </fills>
  <borders count="1">
    <border>
      <left/>
      <right/>
      <top/>
      <bottom/>
      <diagonal/>
    </border>
  </borders>
  <cellStyleXfs count="1">
    <xf numFmtId="0" fontId="0" fillId="0" borderId="0"/>
  </cellStyleXfs>
  <cellXfs count="4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1" fillId="0" borderId="0" pivotButton="0" quotePrefix="0" xfId="0"/>
    <xf numFmtId="0" fontId="8" fillId="0" borderId="0" pivotButton="0" quotePrefix="0" xfId="0"/>
    <xf numFmtId="0" fontId="5" fillId="0" borderId="0" pivotButton="0" quotePrefix="0" xfId="0"/>
    <xf numFmtId="0" fontId="4" fillId="2" borderId="0" pivotButton="0" quotePrefix="0" xfId="0"/>
    <xf numFmtId="0" fontId="3" fillId="0" borderId="0" pivotButton="0" quotePrefix="0" xfId="0"/>
    <xf numFmtId="0" fontId="2" fillId="0" borderId="0" pivotButton="0" quotePrefix="0" xfId="0"/>
    <xf numFmtId="2" fontId="6" fillId="0" borderId="0" pivotButton="0" quotePrefix="0" xfId="0"/>
    <xf numFmtId="164" fontId="6" fillId="0" borderId="0" pivotButton="0" quotePrefix="0" xfId="0"/>
    <xf numFmtId="165" fontId="6" fillId="0" borderId="0" pivotButton="0" quotePrefix="0" xfId="0"/>
    <xf numFmtId="164" fontId="6" fillId="3" borderId="0" pivotButton="0" quotePrefix="0" xfId="0"/>
    <xf numFmtId="164" fontId="4" fillId="0" borderId="0" pivotButton="0" quotePrefix="0" xfId="0"/>
    <xf numFmtId="165" fontId="6" fillId="3" borderId="0" pivotButton="0" quotePrefix="0" xfId="0"/>
    <xf numFmtId="166" fontId="6" fillId="3" borderId="0" pivotButton="0" quotePrefix="0" xfId="0"/>
    <xf numFmtId="167" fontId="6" fillId="3" borderId="0" pivotButton="0" quotePrefix="0" xfId="0"/>
    <xf numFmtId="168" fontId="6" fillId="0" borderId="0" pivotButton="0" quotePrefix="0" xfId="0"/>
    <xf numFmtId="169" fontId="2" fillId="0" borderId="0" pivotButton="0" quotePrefix="0" xfId="0"/>
    <xf numFmtId="166" fontId="6" fillId="0" borderId="0" pivotButton="0" quotePrefix="0" xfId="0"/>
    <xf numFmtId="165" fontId="2" fillId="0" borderId="0" pivotButton="0" quotePrefix="0" xfId="0"/>
    <xf numFmtId="170" fontId="2" fillId="0" borderId="0" pivotButton="0" quotePrefix="0" xfId="0"/>
    <xf numFmtId="166" fontId="2" fillId="0" borderId="0" pivotButton="0" quotePrefix="0" xfId="0"/>
    <xf numFmtId="0" fontId="4" fillId="0" borderId="0" pivotButton="0" quotePrefix="0" xfId="0"/>
    <xf numFmtId="164" fontId="2" fillId="0" borderId="0" pivotButton="0" quotePrefix="0" xfId="0"/>
    <xf numFmtId="165" fontId="4" fillId="0" borderId="0" pivotButton="0" quotePrefix="0" xfId="0"/>
    <xf numFmtId="169" fontId="4" fillId="0" borderId="0" pivotButton="0" quotePrefix="0" xfId="0"/>
    <xf numFmtId="167" fontId="4" fillId="0" borderId="0" pivotButton="0" quotePrefix="0" xfId="0"/>
    <xf numFmtId="167" fontId="2" fillId="0" borderId="0" pivotButton="0" quotePrefix="0" xfId="0"/>
    <xf numFmtId="171" fontId="6" fillId="0" borderId="0" pivotButton="0" quotePrefix="0" xfId="0"/>
    <xf numFmtId="164" fontId="7" fillId="0" borderId="0" pivotButton="0" quotePrefix="0" xfId="0"/>
    <xf numFmtId="166" fontId="4" fillId="0" borderId="0" pivotButton="0" quotePrefix="0" xfId="0"/>
    <xf numFmtId="0" fontId="4" fillId="2" borderId="0" applyAlignment="1" pivotButton="0" quotePrefix="0" xfId="0">
      <alignment horizontal="center"/>
    </xf>
    <xf numFmtId="166" fontId="4" fillId="4" borderId="0" pivotButton="0" quotePrefix="0" xfId="0"/>
    <xf numFmtId="169" fontId="4" fillId="4" borderId="0" pivotButton="0" quotePrefix="0" xfId="0"/>
    <xf numFmtId="169" fontId="6" fillId="0" borderId="0" pivotButton="0" quotePrefix="0" xfId="0"/>
    <xf numFmtId="169" fontId="7" fillId="0" borderId="0" pivotButton="0" quotePrefix="0" xfId="0"/>
    <xf numFmtId="168" fontId="2" fillId="0" borderId="0" pivotButton="0" quotePrefix="0" xfId="0"/>
    <xf numFmtId="168" fontId="4" fillId="4" borderId="0" pivotButton="0" quotePrefix="0" xfId="0"/>
    <xf numFmtId="168" fontId="4" fillId="0" borderId="0" pivotButton="0" quotePrefix="0" xfId="0"/>
    <xf numFmtId="168"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7"/>
  <sheetViews>
    <sheetView showGridLines="0" workbookViewId="0">
      <selection activeCell="A1" sqref="A1"/>
    </sheetView>
  </sheetViews>
  <sheetFormatPr baseColWidth="8" defaultRowHeight="15"/>
  <cols>
    <col width="110" customWidth="1" min="1" max="1"/>
  </cols>
  <sheetData>
    <row r="1">
      <c r="A1" s="1" t="inlineStr">
        <is>
          <t>KidStella drivers model</t>
        </is>
      </c>
    </row>
    <row r="2">
      <c r="A2" s="2" t="inlineStr">
        <is>
          <t>What depends on what, and where value is built. Built 22 Oct 2026 for the Kogito conversation.</t>
        </is>
      </c>
    </row>
    <row r="3">
      <c r="A3" s="2" t="inlineStr"/>
    </row>
    <row r="4">
      <c r="A4" s="3" t="inlineStr">
        <is>
          <t>How to read it</t>
        </is>
      </c>
    </row>
    <row r="5">
      <c r="A5" s="2" t="inlineStr">
        <is>
          <t>Blue numbers are inputs you can change. Black numbers are formulas. Green numbers pull from another sheet. Yellow cells are the guesses that the December cohort test must replace with real data.</t>
        </is>
      </c>
    </row>
    <row r="6">
      <c r="A6" s="2" t="inlineStr">
        <is>
          <t>Sheets: Inputs (every assumption, with its source) · Unit economics (what one family is worth on each plan) · 1,000 families (what it takes) · Plan 18m (bootstrapped vs pre-seed, month by month) · Use of funds (where the round goes).</t>
        </is>
      </c>
    </row>
    <row r="7">
      <c r="A7" s="2" t="inlineStr"/>
    </row>
    <row r="8">
      <c r="A8" s="3" t="inlineStr">
        <is>
          <t>The chain in one line</t>
        </is>
      </c>
    </row>
    <row r="9">
      <c r="A9" s="4" t="inlineStr">
        <is>
          <t>paying families = signups × % who finish a first lesson × % who pay × how long they stay</t>
        </is>
      </c>
    </row>
    <row r="10">
      <c r="A10" s="4" t="inlineStr">
        <is>
          <t>money per family per month = net price (after VAT and fees) − AI cost of the lessons and Programs they use</t>
        </is>
      </c>
    </row>
    <row r="11">
      <c r="A11" s="4" t="inlineStr">
        <is>
          <t>growth is healthy when the cost of one paying family &lt; what a family is worth (ideally 3×)</t>
        </is>
      </c>
    </row>
    <row r="12">
      <c r="A12" s="2" t="inlineStr"/>
    </row>
    <row r="13">
      <c r="A13" s="3" t="inlineStr">
        <is>
          <t>What is measured and what is a guess</t>
        </is>
      </c>
    </row>
    <row r="14">
      <c r="A14" s="2" t="inlineStr">
        <is>
          <t>Measured (ekonomia v2, test environment, Oct 2026): cost per lesson, cost of a Program plan, cost of a free account, plan prices, VAT, payment fees.</t>
        </is>
      </c>
    </row>
    <row r="15">
      <c r="A15" s="2" t="inlineStr">
        <is>
          <t>Measured (Stripe/Supabase, marked by Wiktor 23 Oct 2026): 31 alpha subscriptions since May at a 9.99 zł supporter price; 19 parents from outside the founder's circle (3 in the US/UK), 8 friends, 4 test accounts; 10 of the 19 still pay.</t>
        </is>
      </c>
    </row>
    <row r="16">
      <c r="A16" s="2" t="inlineStr">
        <is>
          <t>Guesses (yellow): activation, free→paid conversion, churn, plan mix, cost per paid signup, organic signups. The cohort test (Nov–Dec 2026) measures the first three.</t>
        </is>
      </c>
    </row>
    <row r="17">
      <c r="A17" s="5" t="inlineStr">
        <is>
          <t>Not audited financial data. Exchange rates: 1 $ = 3.90 zł, 1 € = 4.37 zł (rates used in ekonomia v2, 14 Oct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8"/>
  <sheetViews>
    <sheetView showGridLines="0" workbookViewId="0">
      <selection activeCell="A1" sqref="A1"/>
    </sheetView>
  </sheetViews>
  <sheetFormatPr baseColWidth="8" defaultRowHeight="15"/>
  <cols>
    <col width="46" customWidth="1" min="1" max="1"/>
    <col width="14" customWidth="1" min="2" max="2"/>
    <col width="90" customWidth="1" min="3" max="3"/>
  </cols>
  <sheetData>
    <row r="1">
      <c r="A1" s="6" t="inlineStr">
        <is>
          <t>Inputs</t>
        </is>
      </c>
      <c r="B1" s="7" t="n"/>
      <c r="C1" s="7" t="n"/>
    </row>
    <row r="2">
      <c r="A2" s="8" t="inlineStr">
        <is>
          <t>Change blue cells only. Yellow = guess until the cohort test.</t>
        </is>
      </c>
      <c r="B2" s="7" t="n"/>
      <c r="C2" s="7" t="n"/>
    </row>
    <row r="3">
      <c r="A3" s="9" t="inlineStr">
        <is>
          <t>Driver</t>
        </is>
      </c>
      <c r="B3" s="9" t="inlineStr">
        <is>
          <t>Value</t>
        </is>
      </c>
      <c r="C3" s="9" t="inlineStr">
        <is>
          <t>Source / why it matters</t>
        </is>
      </c>
    </row>
    <row r="4">
      <c r="A4" s="7" t="n"/>
      <c r="B4" s="7" t="n"/>
      <c r="C4" s="7" t="n"/>
    </row>
    <row r="5">
      <c r="A5" s="10" t="inlineStr">
        <is>
          <t>Money</t>
        </is>
      </c>
      <c r="B5" s="7" t="n"/>
      <c r="C5" s="7" t="n"/>
    </row>
    <row r="6">
      <c r="A6" s="11" t="inlineStr">
        <is>
          <t>Złoty per US dollar</t>
        </is>
      </c>
      <c r="B6" s="12" t="n">
        <v>3.9</v>
      </c>
      <c r="C6" s="8" t="inlineStr">
        <is>
          <t>ekonomia v2 (14 Oct 2026)</t>
        </is>
      </c>
    </row>
    <row r="7">
      <c r="A7" s="11" t="inlineStr">
        <is>
          <t>Złoty per euro</t>
        </is>
      </c>
      <c r="B7" s="12" t="n">
        <v>4.37</v>
      </c>
      <c r="C7" s="8" t="inlineStr">
        <is>
          <t>ekonomia v2 (14 Oct 2026)</t>
        </is>
      </c>
    </row>
    <row r="8">
      <c r="A8" s="11" t="inlineStr">
        <is>
          <t>VAT in Poland</t>
        </is>
      </c>
      <c r="B8" s="13" t="n">
        <v>0.23</v>
      </c>
      <c r="C8" s="8" t="inlineStr">
        <is>
          <t>Statutory rate; prices on kidstella.com include VAT</t>
        </is>
      </c>
    </row>
    <row r="9">
      <c r="A9" s="11" t="inlineStr">
        <is>
          <t>Payment fee, % of each payment</t>
        </is>
      </c>
      <c r="B9" s="13" t="n">
        <v>0.065</v>
      </c>
      <c r="C9" s="8" t="inlineStr">
        <is>
          <t>ekonomia v2: ~6.5% + 1.20 zł after the $2,000 payment credit runs out (charged from month 1 here, to stay conservative)</t>
        </is>
      </c>
    </row>
    <row r="10">
      <c r="A10" s="11" t="inlineStr">
        <is>
          <t>Payment fee, fixed per payment (zł)</t>
        </is>
      </c>
      <c r="B10" s="14" t="n">
        <v>1.2</v>
      </c>
      <c r="C10" s="8" t="inlineStr">
        <is>
          <t>ekonomia v2</t>
        </is>
      </c>
    </row>
    <row r="11">
      <c r="A11" s="7" t="n"/>
      <c r="B11" s="7" t="n"/>
      <c r="C11" s="7" t="n"/>
    </row>
    <row r="12">
      <c r="A12" s="10" t="inlineStr">
        <is>
          <t>Cost to make things (measured)</t>
        </is>
      </c>
      <c r="B12" s="7" t="n"/>
      <c r="C12" s="7" t="n"/>
    </row>
    <row r="13">
      <c r="A13" s="11" t="inlineStr">
        <is>
          <t>AI cost of one lesson (zł)</t>
        </is>
      </c>
      <c r="B13" s="14" t="n">
        <v>1.05</v>
      </c>
      <c r="C13" s="8" t="inlineStr">
        <is>
          <t>Production, 13 video lessons 16–19 Oct 2026: 0.27 $ (video always 0.204 $: Seedance 2 Mini, 17 s, 2 s reference). Program-level pictures counted in the Program plan</t>
        </is>
      </c>
    </row>
    <row r="14">
      <c r="A14" s="11" t="inlineStr">
        <is>
          <t>AI cost of planning one Program (zł)</t>
        </is>
      </c>
      <c r="B14" s="14" t="n">
        <v>3.67</v>
      </c>
      <c r="C14" s="8" t="inlineStr">
        <is>
          <t>ekonomia v2: new planner 0.94 $; old planner ~0.62 zł. Wiktor is cutting it to ~0.12–0.20 $</t>
        </is>
      </c>
    </row>
    <row r="15">
      <c r="A15" s="11" t="inlineStr">
        <is>
          <t>AI cost of one free account (zł)</t>
        </is>
      </c>
      <c r="B15" s="14" t="n">
        <v>6.83</v>
      </c>
      <c r="C15" s="8" t="inlineStr">
        <is>
          <t>3 lessons + plan of one Program, once per parent</t>
        </is>
      </c>
    </row>
    <row r="16">
      <c r="A16" s="11" t="inlineStr">
        <is>
          <t>Share of included lessons a typical family uses</t>
        </is>
      </c>
      <c r="B16" s="13" t="n">
        <v>0.6</v>
      </c>
      <c r="C16" s="8" t="inlineStr">
        <is>
          <t>ekonomia v2 'typical use' (60% of lessons)</t>
        </is>
      </c>
    </row>
    <row r="17">
      <c r="A17" s="11" t="inlineStr">
        <is>
          <t>Share of included Programs a typical family plans</t>
        </is>
      </c>
      <c r="B17" s="13" t="n">
        <v>0.5</v>
      </c>
      <c r="C17" s="8" t="inlineStr">
        <is>
          <t>ekonomia v2 'typical use' (half of the Programs, rounded up)</t>
        </is>
      </c>
    </row>
    <row r="18">
      <c r="A18" s="7" t="n"/>
      <c r="B18" s="7" t="n"/>
      <c r="C18" s="7" t="n"/>
    </row>
    <row r="19">
      <c r="A19" s="10" t="inlineStr">
        <is>
          <t>Plan mix (guess)</t>
        </is>
      </c>
      <c r="B19" s="7" t="n"/>
      <c r="C19" s="7" t="n"/>
    </row>
    <row r="20">
      <c r="A20" s="11" t="inlineStr">
        <is>
          <t>Mini share of paying families</t>
        </is>
      </c>
      <c r="B20" s="15" t="n">
        <v>0.6</v>
      </c>
      <c r="C20" s="8" t="inlineStr">
        <is>
          <t>Guess: cheapest plan dominates early</t>
        </is>
      </c>
    </row>
    <row r="21">
      <c r="A21" s="11" t="inlineStr">
        <is>
          <t>Midi share</t>
        </is>
      </c>
      <c r="B21" s="15" t="n">
        <v>0.3</v>
      </c>
      <c r="C21" s="8" t="inlineStr">
        <is>
          <t>Guess</t>
        </is>
      </c>
    </row>
    <row r="22">
      <c r="A22" s="11" t="inlineStr">
        <is>
          <t>Maxi share</t>
        </is>
      </c>
      <c r="B22" s="15" t="n">
        <v>0.1</v>
      </c>
      <c r="C22" s="8" t="inlineStr">
        <is>
          <t>Guess; must sum to 100% (check in B23)</t>
        </is>
      </c>
    </row>
    <row r="23">
      <c r="A23" s="11" t="inlineStr">
        <is>
          <t>Plan mix check (must be 100%)</t>
        </is>
      </c>
      <c r="B23" s="16">
        <f>SUM(B20:B22)</f>
        <v/>
      </c>
      <c r="C23" s="7" t="n"/>
    </row>
    <row r="24">
      <c r="A24" s="7" t="n"/>
      <c r="B24" s="7" t="n"/>
      <c r="C24" s="7" t="n"/>
    </row>
    <row r="25">
      <c r="A25" s="10" t="inlineStr">
        <is>
          <t>Funnel (guess until the cohort test)</t>
        </is>
      </c>
      <c r="B25" s="7" t="n"/>
      <c r="C25" s="7" t="n"/>
    </row>
    <row r="26">
      <c r="A26" s="11" t="inlineStr">
        <is>
          <t>Activation: signups who finish a first lesson</t>
        </is>
      </c>
      <c r="B26" s="15" t="n">
        <v>0.6</v>
      </c>
      <c r="C26" s="8" t="inlineStr">
        <is>
          <t>Guess. Cohort test measures it. Moves with onboarding speed and the sample Program on the homepage</t>
        </is>
      </c>
    </row>
    <row r="27">
      <c r="A27" s="11" t="inlineStr">
        <is>
          <t>Conversion: activated families who start paying</t>
        </is>
      </c>
      <c r="B27" s="15" t="n">
        <v>0.1</v>
      </c>
      <c r="C27" s="8" t="inlineStr">
        <is>
          <t>Guess. THE number that decides everything. Cohort test measures it</t>
        </is>
      </c>
    </row>
    <row r="28">
      <c r="A28" s="11" t="inlineStr">
        <is>
          <t>Monthly churn of paying families</t>
        </is>
      </c>
      <c r="B28" s="15" t="n">
        <v>0.1</v>
      </c>
      <c r="C28" s="8" t="inlineStr">
        <is>
          <t>Guess. Alpha: 19 non-friend payers → 10 after ~5.5 months (~11%/month) while lessons were paused</t>
        </is>
      </c>
    </row>
    <row r="29">
      <c r="A29" s="11" t="inlineStr">
        <is>
          <t>Cost of one signup from paid ads (zł)</t>
        </is>
      </c>
      <c r="B29" s="17" t="n">
        <v>8</v>
      </c>
      <c r="C29" s="8" t="inlineStr">
        <is>
          <t>Guess for Meta ads to Polish parents. Test with a small budget first</t>
        </is>
      </c>
    </row>
    <row r="30">
      <c r="A30" s="7" t="n"/>
      <c r="B30" s="7" t="n"/>
      <c r="C30" s="7" t="n"/>
    </row>
    <row r="31">
      <c r="A31" s="10" t="inlineStr">
        <is>
          <t>Organic growth (both scenarios)</t>
        </is>
      </c>
      <c r="B31" s="7" t="n"/>
      <c r="C31" s="7" t="n"/>
    </row>
    <row r="32">
      <c r="A32" s="11" t="inlineStr">
        <is>
          <t>Organic signups in month 1</t>
        </is>
      </c>
      <c r="B32" s="18" t="n">
        <v>60</v>
      </c>
      <c r="C32" s="8" t="inlineStr">
        <is>
          <t>Guess: ~20 waiting parents + ~30 alpha parents to re-activate + street and groups</t>
        </is>
      </c>
    </row>
    <row r="33">
      <c r="A33" s="11" t="inlineStr">
        <is>
          <t>Organic growth per month</t>
        </is>
      </c>
      <c r="B33" s="15" t="n">
        <v>0.1</v>
      </c>
      <c r="C33" s="8" t="inlineStr">
        <is>
          <t>Guess: referrals, short videos, SEO pages, parent groups</t>
        </is>
      </c>
    </row>
    <row r="34">
      <c r="A34" s="11" t="inlineStr">
        <is>
          <t>Organic boost with a growth hire (pre-seed only)</t>
        </is>
      </c>
      <c r="B34" s="19" t="n">
        <v>1.5</v>
      </c>
      <c r="C34" s="8" t="inlineStr">
        <is>
          <t>Guess: a full-time person on content and community from month 3</t>
        </is>
      </c>
    </row>
    <row r="35">
      <c r="A35" s="7" t="n"/>
      <c r="B35" s="7" t="n"/>
      <c r="C35" s="7" t="n"/>
    </row>
    <row r="36">
      <c r="A36" s="10" t="inlineStr">
        <is>
          <t>Pre-seed round</t>
        </is>
      </c>
      <c r="B36" s="7" t="n"/>
      <c r="C36" s="7" t="n"/>
    </row>
    <row r="37">
      <c r="A37" s="11" t="inlineStr">
        <is>
          <t>Round size (€)</t>
        </is>
      </c>
      <c r="B37" s="20" t="n">
        <v>250000</v>
      </c>
      <c r="C37" s="8" t="inlineStr">
        <is>
          <t>Proposal; Kogito first tickets are €0.2–0.7m</t>
        </is>
      </c>
    </row>
    <row r="38">
      <c r="A38" s="11" t="inlineStr">
        <is>
          <t>Round size (zł)</t>
        </is>
      </c>
      <c r="B38" s="21">
        <f>B37*B7</f>
        <v/>
      </c>
      <c r="C38" s="8" t="inlineStr">
        <is>
          <t>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44"/>
  <sheetViews>
    <sheetView showGridLines="0" workbookViewId="0">
      <selection activeCell="A1" sqref="A1"/>
    </sheetView>
  </sheetViews>
  <sheetFormatPr baseColWidth="8" defaultRowHeight="15"/>
  <cols>
    <col width="40" customWidth="1" min="1" max="1"/>
    <col width="14" customWidth="1" min="2" max="2"/>
    <col width="14" customWidth="1" min="3" max="3"/>
    <col width="14" customWidth="1" min="4" max="4"/>
    <col width="4" customWidth="1" min="5" max="5"/>
    <col width="60" customWidth="1" min="6" max="6"/>
  </cols>
  <sheetData>
    <row r="1">
      <c r="A1" s="6" t="inlineStr">
        <is>
          <t>Unit economics: one family, one month (Poland, złoty)</t>
        </is>
      </c>
      <c r="B1" s="7" t="n"/>
      <c r="C1" s="7" t="n"/>
      <c r="D1" s="7" t="n"/>
      <c r="E1" s="7" t="n"/>
      <c r="F1" s="7" t="n"/>
    </row>
    <row r="2">
      <c r="A2" s="8" t="inlineStr">
        <is>
          <t>Typical use = 60% of lessons and half of the Programs (rounded up). Prices from src/lib/plans.ts, 22 Oct 2026.</t>
        </is>
      </c>
      <c r="B2" s="7" t="n"/>
      <c r="C2" s="7" t="n"/>
      <c r="D2" s="7" t="n"/>
      <c r="E2" s="7" t="n"/>
      <c r="F2" s="7" t="n"/>
    </row>
    <row r="3">
      <c r="A3" s="7" t="n"/>
      <c r="B3" s="7" t="n"/>
      <c r="C3" s="7" t="n"/>
      <c r="D3" s="7" t="n"/>
      <c r="E3" s="7" t="n"/>
      <c r="F3" s="7" t="n"/>
    </row>
    <row r="4">
      <c r="A4" s="9" t="inlineStr"/>
      <c r="B4" s="9" t="inlineStr">
        <is>
          <t>Mini</t>
        </is>
      </c>
      <c r="C4" s="9" t="inlineStr">
        <is>
          <t>Midi</t>
        </is>
      </c>
      <c r="D4" s="9" t="inlineStr">
        <is>
          <t>Maxi</t>
        </is>
      </c>
      <c r="E4" s="7" t="n"/>
      <c r="F4" s="9" t="inlineStr">
        <is>
          <t>What it means</t>
        </is>
      </c>
    </row>
    <row r="5">
      <c r="A5" s="11" t="inlineStr">
        <is>
          <t>Price with VAT (zł)</t>
        </is>
      </c>
      <c r="B5" s="14" t="n">
        <v>39.99</v>
      </c>
      <c r="C5" s="14" t="n">
        <v>74.98999999999999</v>
      </c>
      <c r="D5" s="14" t="n">
        <v>129.99</v>
      </c>
      <c r="E5" s="7" t="n"/>
      <c r="F5" s="7" t="n"/>
    </row>
    <row r="6">
      <c r="A6" s="11" t="inlineStr">
        <is>
          <t>Lessons included per month</t>
        </is>
      </c>
      <c r="B6" s="22" t="n">
        <v>15</v>
      </c>
      <c r="C6" s="22" t="n">
        <v>30</v>
      </c>
      <c r="D6" s="22" t="n">
        <v>60</v>
      </c>
      <c r="E6" s="7" t="n"/>
      <c r="F6" s="7" t="n"/>
    </row>
    <row r="7">
      <c r="A7" s="11" t="inlineStr">
        <is>
          <t>New Programs included per month</t>
        </is>
      </c>
      <c r="B7" s="22" t="n">
        <v>1</v>
      </c>
      <c r="C7" s="22" t="n">
        <v>2</v>
      </c>
      <c r="D7" s="22" t="n">
        <v>4</v>
      </c>
      <c r="E7" s="7" t="n"/>
      <c r="F7" s="7" t="n"/>
    </row>
    <row r="8">
      <c r="A8" s="11" t="inlineStr">
        <is>
          <t>Net price after VAT (zł)</t>
        </is>
      </c>
      <c r="B8" s="23">
        <f>B5/(1+Inputs!$B$8)</f>
        <v/>
      </c>
      <c r="C8" s="23">
        <f>C5/(1+Inputs!$B$8)</f>
        <v/>
      </c>
      <c r="D8" s="23">
        <f>D5/(1+Inputs!$B$8)</f>
        <v/>
      </c>
      <c r="E8" s="7" t="n"/>
      <c r="F8" s="8" t="inlineStr">
        <is>
          <t>What stays after the 23% VAT.</t>
        </is>
      </c>
    </row>
    <row r="9">
      <c r="A9" s="11" t="inlineStr">
        <is>
          <t>Lessons a typical family uses</t>
        </is>
      </c>
      <c r="B9" s="24">
        <f>B6*Inputs!$B$16</f>
        <v/>
      </c>
      <c r="C9" s="24">
        <f>C6*Inputs!$B$16</f>
        <v/>
      </c>
      <c r="D9" s="24">
        <f>D6*Inputs!$B$16</f>
        <v/>
      </c>
      <c r="E9" s="7" t="n"/>
      <c r="F9" s="7" t="n"/>
    </row>
    <row r="10">
      <c r="A10" s="11" t="inlineStr">
        <is>
          <t>Programs a typical family plans</t>
        </is>
      </c>
      <c r="B10" s="25">
        <f>ROUNDUP(B7*Inputs!$B$17,0)</f>
        <v/>
      </c>
      <c r="C10" s="25">
        <f>ROUNDUP(C7*Inputs!$B$17,0)</f>
        <v/>
      </c>
      <c r="D10" s="25">
        <f>ROUNDUP(D7*Inputs!$B$17,0)</f>
        <v/>
      </c>
      <c r="E10" s="7" t="n"/>
      <c r="F10" s="7" t="n"/>
    </row>
    <row r="11">
      <c r="A11" s="11" t="inlineStr">
        <is>
          <t>AI cost of lessons (zł)</t>
        </is>
      </c>
      <c r="B11" s="23">
        <f>B9*Inputs!$B$13</f>
        <v/>
      </c>
      <c r="C11" s="23">
        <f>C9*Inputs!$B$13</f>
        <v/>
      </c>
      <c r="D11" s="23">
        <f>D9*Inputs!$B$13</f>
        <v/>
      </c>
      <c r="E11" s="7" t="n"/>
      <c r="F11" s="7" t="n"/>
    </row>
    <row r="12">
      <c r="A12" s="11" t="inlineStr">
        <is>
          <t>AI cost of Program plans (zł)</t>
        </is>
      </c>
      <c r="B12" s="23">
        <f>B10*Inputs!$B$14</f>
        <v/>
      </c>
      <c r="C12" s="23">
        <f>C10*Inputs!$B$14</f>
        <v/>
      </c>
      <c r="D12" s="23">
        <f>D10*Inputs!$B$14</f>
        <v/>
      </c>
      <c r="E12" s="7" t="n"/>
      <c r="F12" s="7" t="n"/>
    </row>
    <row r="13">
      <c r="A13" s="26" t="inlineStr">
        <is>
          <t>AI cost, typical family (zł)</t>
        </is>
      </c>
      <c r="B13" s="23">
        <f>B11+B12</f>
        <v/>
      </c>
      <c r="C13" s="23">
        <f>C11+C12</f>
        <v/>
      </c>
      <c r="D13" s="23">
        <f>D11+D12</f>
        <v/>
      </c>
      <c r="E13" s="7" t="n"/>
      <c r="F13" s="8" t="inlineStr">
        <is>
          <t>What we pay AI providers for this family's lessons and Programs.</t>
        </is>
      </c>
    </row>
    <row r="14">
      <c r="A14" s="11" t="inlineStr">
        <is>
          <t>Gross margin before payment fees</t>
        </is>
      </c>
      <c r="B14" s="27">
        <f>IF(B8=0,0,(B8-B13)/B8)</f>
        <v/>
      </c>
      <c r="C14" s="27">
        <f>IF(C8=0,0,(C8-C13)/C8)</f>
        <v/>
      </c>
      <c r="D14" s="27">
        <f>IF(D8=0,0,(D8-D13)/D8)</f>
        <v/>
      </c>
      <c r="E14" s="7" t="n"/>
      <c r="F14" s="8" t="inlineStr">
        <is>
          <t>ekonomia v2 shows 60% / 64% / 58% for Mini / Midi / Maxi: this row reproduces it.</t>
        </is>
      </c>
    </row>
    <row r="15">
      <c r="A15" s="11" t="inlineStr">
        <is>
          <t>Payment fees (zł)</t>
        </is>
      </c>
      <c r="B15" s="23">
        <f>B5*Inputs!$B$9+Inputs!$B$10</f>
        <v/>
      </c>
      <c r="C15" s="23">
        <f>C5*Inputs!$B$9+Inputs!$B$10</f>
        <v/>
      </c>
      <c r="D15" s="23">
        <f>D5*Inputs!$B$9+Inputs!$B$10</f>
        <v/>
      </c>
      <c r="E15" s="7" t="n"/>
      <c r="F15" s="7" t="n"/>
    </row>
    <row r="16">
      <c r="A16" s="26" t="inlineStr">
        <is>
          <t>Contribution after fees (zł)</t>
        </is>
      </c>
      <c r="B16" s="23">
        <f>B8-B13-B15</f>
        <v/>
      </c>
      <c r="C16" s="23">
        <f>C8-C13-C15</f>
        <v/>
      </c>
      <c r="D16" s="23">
        <f>D8-D13-D15</f>
        <v/>
      </c>
      <c r="E16" s="7" t="n"/>
      <c r="F16" s="8" t="inlineStr">
        <is>
          <t>What one family leaves us each month to pay for growth and the team.</t>
        </is>
      </c>
    </row>
    <row r="17">
      <c r="A17" s="26" t="inlineStr">
        <is>
          <t>Contribution margin after fees</t>
        </is>
      </c>
      <c r="B17" s="27">
        <f>IF(B8=0,0,B16/B8)</f>
        <v/>
      </c>
      <c r="C17" s="27">
        <f>IF(C8=0,0,C16/C8)</f>
        <v/>
      </c>
      <c r="D17" s="27">
        <f>IF(D8=0,0,D16/D8)</f>
        <v/>
      </c>
      <c r="E17" s="7" t="n"/>
      <c r="F17" s="7" t="n"/>
    </row>
    <row r="18">
      <c r="A18" s="11" t="inlineStr">
        <is>
          <t>Worst case: every lesson used (zł)</t>
        </is>
      </c>
      <c r="B18" s="23">
        <f>B8-B6*Inputs!$B$13-B7*Inputs!$B$14-B15</f>
        <v/>
      </c>
      <c r="C18" s="23">
        <f>C8-C6*Inputs!$B$13-C7*Inputs!$B$14-C15</f>
        <v/>
      </c>
      <c r="D18" s="23">
        <f>D8-D6*Inputs!$B$13-D7*Inputs!$B$14-D15</f>
        <v/>
      </c>
      <c r="E18" s="7" t="n"/>
      <c r="F18" s="8" t="inlineStr">
        <is>
          <t>Even a family that uses everything stays positive on Mini and Midi (Program plan cost is the lever on Maxi).</t>
        </is>
      </c>
    </row>
    <row r="19">
      <c r="A19" s="7" t="n"/>
      <c r="B19" s="7" t="n"/>
      <c r="C19" s="7" t="n"/>
      <c r="D19" s="7" t="n"/>
      <c r="E19" s="7" t="n"/>
      <c r="F19" s="7" t="n"/>
    </row>
    <row r="20">
      <c r="A20" s="10" t="inlineStr">
        <is>
          <t>Weighted by plan mix</t>
        </is>
      </c>
      <c r="B20" s="7" t="n"/>
      <c r="C20" s="7" t="n"/>
      <c r="D20" s="7" t="n"/>
      <c r="E20" s="7" t="n"/>
      <c r="F20" s="7" t="n"/>
    </row>
    <row r="21">
      <c r="A21" s="26" t="inlineStr">
        <is>
          <t>Net revenue per paying family (ARPU, zł)</t>
        </is>
      </c>
      <c r="B21" s="28">
        <f>B8*Inputs!$B$20+C8*Inputs!$B$21+D8*Inputs!$B$22</f>
        <v/>
      </c>
      <c r="C21" s="7" t="n"/>
      <c r="D21" s="7" t="n"/>
      <c r="E21" s="7" t="n"/>
      <c r="F21" s="7" t="n"/>
    </row>
    <row r="22">
      <c r="A22" s="11" t="inlineStr">
        <is>
          <t>AI cost per paying family (zł)</t>
        </is>
      </c>
      <c r="B22" s="23">
        <f>B13*Inputs!$B$20+C13*Inputs!$B$21+D13*Inputs!$B$22</f>
        <v/>
      </c>
      <c r="C22" s="7" t="n"/>
      <c r="D22" s="7" t="n"/>
      <c r="E22" s="7" t="n"/>
      <c r="F22" s="7" t="n"/>
    </row>
    <row r="23">
      <c r="A23" s="11" t="inlineStr">
        <is>
          <t>Payment fees per paying family (zł)</t>
        </is>
      </c>
      <c r="B23" s="23">
        <f>B15*Inputs!$B$20+C15*Inputs!$B$21+D15*Inputs!$B$22</f>
        <v/>
      </c>
      <c r="C23" s="7" t="n"/>
      <c r="D23" s="7" t="n"/>
      <c r="E23" s="7" t="n"/>
      <c r="F23" s="7" t="n"/>
    </row>
    <row r="24">
      <c r="A24" s="26" t="inlineStr">
        <is>
          <t>Contribution per paying family (zł)</t>
        </is>
      </c>
      <c r="B24" s="28">
        <f>B21-B22-B23</f>
        <v/>
      </c>
      <c r="C24" s="7" t="n"/>
      <c r="D24" s="7" t="n"/>
      <c r="E24" s="7" t="n"/>
      <c r="F24" s="7" t="n"/>
    </row>
    <row r="25">
      <c r="A25" s="11" t="inlineStr">
        <is>
          <t>Contribution margin</t>
        </is>
      </c>
      <c r="B25" s="27">
        <f>IF(B21=0,0,B24/B21)</f>
        <v/>
      </c>
      <c r="C25" s="7" t="n"/>
      <c r="D25" s="7" t="n"/>
      <c r="E25" s="7" t="n"/>
      <c r="F25" s="7" t="n"/>
    </row>
    <row r="26">
      <c r="A26" s="7" t="n"/>
      <c r="B26" s="7" t="n"/>
      <c r="C26" s="7" t="n"/>
      <c r="D26" s="7" t="n"/>
      <c r="E26" s="7" t="n"/>
      <c r="F26" s="7" t="n"/>
    </row>
    <row r="27">
      <c r="A27" s="10" t="inlineStr">
        <is>
          <t>What a family is worth</t>
        </is>
      </c>
      <c r="B27" s="7" t="n"/>
      <c r="C27" s="7" t="n"/>
      <c r="D27" s="7" t="n"/>
      <c r="E27" s="7" t="n"/>
      <c r="F27" s="7" t="n"/>
    </row>
    <row r="28">
      <c r="A28" s="11" t="inlineStr">
        <is>
          <t>Average months a family stays (1 / churn)</t>
        </is>
      </c>
      <c r="B28" s="24">
        <f>IF(Inputs!B28=0,0,1/Inputs!B28)</f>
        <v/>
      </c>
      <c r="C28" s="7" t="n"/>
      <c r="D28" s="7" t="n"/>
      <c r="E28" s="7" t="n"/>
      <c r="F28" s="7" t="n"/>
    </row>
    <row r="29">
      <c r="A29" s="26" t="inlineStr">
        <is>
          <t>Lifetime value per paying family (zł)</t>
        </is>
      </c>
      <c r="B29" s="29">
        <f>B24*B28</f>
        <v/>
      </c>
      <c r="C29" s="7" t="n"/>
      <c r="D29" s="7" t="n"/>
      <c r="E29" s="7" t="n"/>
      <c r="F29" s="8" t="inlineStr">
        <is>
          <t>Contribution per month × months they stay. This is the most you can afford to pay to get one family.</t>
        </is>
      </c>
    </row>
    <row r="30">
      <c r="A30" s="7" t="n"/>
      <c r="B30" s="7" t="n"/>
      <c r="C30" s="7" t="n"/>
      <c r="D30" s="7" t="n"/>
      <c r="E30" s="7" t="n"/>
      <c r="F30" s="7" t="n"/>
    </row>
    <row r="31">
      <c r="A31" s="10" t="inlineStr">
        <is>
          <t>What one paying family costs to get</t>
        </is>
      </c>
      <c r="B31" s="7" t="n"/>
      <c r="C31" s="7" t="n"/>
      <c r="D31" s="7" t="n"/>
      <c r="E31" s="7" t="n"/>
      <c r="F31" s="7" t="n"/>
    </row>
    <row r="32">
      <c r="A32" s="11" t="inlineStr">
        <is>
          <t>Free accounts per paying family</t>
        </is>
      </c>
      <c r="B32" s="24">
        <f>IF(Inputs!B27=0,0,1/Inputs!B27)</f>
        <v/>
      </c>
      <c r="C32" s="7" t="n"/>
      <c r="D32" s="7" t="n"/>
      <c r="E32" s="7" t="n"/>
      <c r="F32" s="8" t="inlineStr">
        <is>
          <t>Every paying family comes with free accounts that didn't pay.</t>
        </is>
      </c>
    </row>
    <row r="33">
      <c r="A33" s="11" t="inlineStr">
        <is>
          <t>AI cost of those free accounts (zł)</t>
        </is>
      </c>
      <c r="B33" s="21">
        <f>B32*Inputs!B15</f>
        <v/>
      </c>
      <c r="C33" s="7" t="n"/>
      <c r="D33" s="7" t="n"/>
      <c r="E33" s="7" t="n"/>
      <c r="F33" s="7" t="n"/>
    </row>
    <row r="34">
      <c r="A34" s="11" t="inlineStr">
        <is>
          <t>Ad cost per paying family (zł)</t>
        </is>
      </c>
      <c r="B34" s="21">
        <f>IF(Inputs!B26*Inputs!B27=0,0,Inputs!B29/(Inputs!B26*Inputs!B27))</f>
        <v/>
      </c>
      <c r="C34" s="7" t="n"/>
      <c r="D34" s="7" t="n"/>
      <c r="E34" s="7" t="n"/>
      <c r="F34" s="7" t="n"/>
    </row>
    <row r="35">
      <c r="A35" s="26" t="inlineStr">
        <is>
          <t>Cost to get one paying family via ads (CAC, zł)</t>
        </is>
      </c>
      <c r="B35" s="29">
        <f>B33+B34</f>
        <v/>
      </c>
      <c r="C35" s="7" t="n"/>
      <c r="D35" s="7" t="n"/>
      <c r="E35" s="7" t="n"/>
      <c r="F35" s="7" t="n"/>
    </row>
    <row r="36">
      <c r="A36" s="26" t="inlineStr">
        <is>
          <t>Lifetime value ÷ CAC (paid channel)</t>
        </is>
      </c>
      <c r="B36" s="30">
        <f>IF(B35=0,0,B29/B35)</f>
        <v/>
      </c>
      <c r="C36" s="7" t="n"/>
      <c r="D36" s="7" t="n"/>
      <c r="E36" s="7" t="n"/>
      <c r="F36" s="8" t="inlineStr">
        <is>
          <t>Healthy above 3x. Below 1x = every paid family loses money. Organic families only cost the free accounts.</t>
        </is>
      </c>
    </row>
    <row r="37">
      <c r="A37" s="11" t="inlineStr">
        <is>
          <t>Months to earn back CAC</t>
        </is>
      </c>
      <c r="B37" s="24">
        <f>IF(B24=0,0,B35/B24)</f>
        <v/>
      </c>
      <c r="C37" s="7" t="n"/>
      <c r="D37" s="7" t="n"/>
      <c r="E37" s="7" t="n"/>
      <c r="F37" s="7" t="n"/>
    </row>
    <row r="38">
      <c r="A38" s="11" t="inlineStr">
        <is>
          <t>LTV ÷ cost of an organic family (free accounts only)</t>
        </is>
      </c>
      <c r="B38" s="31">
        <f>IF(B33=0,0,B29/B33)</f>
        <v/>
      </c>
      <c r="C38" s="7" t="n"/>
      <c r="D38" s="7" t="n"/>
      <c r="E38" s="7" t="n"/>
      <c r="F38" s="7" t="n"/>
    </row>
    <row r="39">
      <c r="A39" s="7" t="n"/>
      <c r="B39" s="7" t="n"/>
      <c r="C39" s="7" t="n"/>
      <c r="D39" s="7" t="n"/>
      <c r="E39" s="7" t="n"/>
      <c r="F39" s="7" t="n"/>
    </row>
    <row r="40">
      <c r="A40" s="10" t="inlineStr">
        <is>
          <t>Same plans in euro (EU price list), for comparison</t>
        </is>
      </c>
      <c r="B40" s="7" t="n"/>
      <c r="C40" s="7" t="n"/>
      <c r="D40" s="7" t="n"/>
      <c r="E40" s="7" t="n"/>
      <c r="F40" s="7" t="n"/>
    </row>
    <row r="41">
      <c r="A41" s="9" t="inlineStr"/>
      <c r="B41" s="9" t="inlineStr">
        <is>
          <t>Mini</t>
        </is>
      </c>
      <c r="C41" s="9" t="inlineStr">
        <is>
          <t>Midi</t>
        </is>
      </c>
      <c r="D41" s="9" t="inlineStr">
        <is>
          <t>Maxi</t>
        </is>
      </c>
      <c r="E41" s="7" t="n"/>
      <c r="F41" s="7" t="n"/>
    </row>
    <row r="42">
      <c r="A42" s="11" t="inlineStr">
        <is>
          <t>Price with VAT (€)</t>
        </is>
      </c>
      <c r="B42" s="32" t="n">
        <v>11.99</v>
      </c>
      <c r="C42" s="32" t="n">
        <v>19.99</v>
      </c>
      <c r="D42" s="32" t="n">
        <v>34.99</v>
      </c>
      <c r="E42" s="7" t="n"/>
      <c r="F42" s="7" t="n"/>
    </row>
    <row r="43">
      <c r="A43" s="11" t="inlineStr">
        <is>
          <t>Net after ~21% average EU VAT (zł)</t>
        </is>
      </c>
      <c r="B43" s="23">
        <f>B42*Inputs!$B$7/1.21</f>
        <v/>
      </c>
      <c r="C43" s="23">
        <f>C42*Inputs!$B$7/1.21</f>
        <v/>
      </c>
      <c r="D43" s="23">
        <f>D42*Inputs!$B$7/1.21</f>
        <v/>
      </c>
      <c r="E43" s="7" t="n"/>
      <c r="F43" s="7" t="n"/>
    </row>
    <row r="44">
      <c r="A44" s="26" t="inlineStr">
        <is>
          <t>Gross margin before fees, typical use</t>
        </is>
      </c>
      <c r="B44" s="16">
        <f>IF(B43=0,0,(B43-B13)/B43)</f>
        <v/>
      </c>
      <c r="C44" s="16">
        <f>IF(C43=0,0,(C43-C13)/C43)</f>
        <v/>
      </c>
      <c r="D44" s="16">
        <f>IF(D43=0,0,(D43-D13)/D43)</f>
        <v/>
      </c>
      <c r="E44" s="7" t="n"/>
      <c r="F44" s="8" t="inlineStr">
        <is>
          <t>Same AI cost, higher price: this is why the company sells abroad from day one.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5"/>
  <sheetViews>
    <sheetView showGridLines="0" workbookViewId="0">
      <selection activeCell="A1" sqref="A1"/>
    </sheetView>
  </sheetViews>
  <sheetFormatPr baseColWidth="8" defaultRowHeight="15"/>
  <cols>
    <col width="52" customWidth="1" min="1" max="1"/>
    <col width="16" customWidth="1" min="2" max="2"/>
    <col width="70" customWidth="1" min="3" max="3"/>
  </cols>
  <sheetData>
    <row r="1">
      <c r="A1" s="6" t="inlineStr">
        <is>
          <t>What 1,000 paying families take</t>
        </is>
      </c>
      <c r="B1" s="7" t="n"/>
      <c r="C1" s="7" t="n"/>
    </row>
    <row r="2">
      <c r="A2" s="8" t="inlineStr">
        <is>
          <t>Reach the target within N months at a steady pace of new paying families, with churn eating the base every month.</t>
        </is>
      </c>
      <c r="B2" s="7" t="n"/>
      <c r="C2" s="7" t="n"/>
    </row>
    <row r="3">
      <c r="A3" s="7" t="n"/>
      <c r="B3" s="7" t="n"/>
      <c r="C3" s="7" t="n"/>
    </row>
    <row r="4">
      <c r="A4" s="11" t="inlineStr">
        <is>
          <t>Target paying families</t>
        </is>
      </c>
      <c r="B4" s="22" t="n">
        <v>1000</v>
      </c>
      <c r="C4" s="7" t="n"/>
    </row>
    <row r="5">
      <c r="A5" s="11" t="inlineStr">
        <is>
          <t>Months to get there</t>
        </is>
      </c>
      <c r="B5" s="22" t="n">
        <v>12</v>
      </c>
      <c r="C5" s="7" t="n"/>
    </row>
    <row r="6">
      <c r="A6" s="11" t="inlineStr">
        <is>
          <t>Monthly churn</t>
        </is>
      </c>
      <c r="B6" s="33">
        <f>Inputs!B28</f>
        <v/>
      </c>
      <c r="C6" s="7" t="n"/>
    </row>
    <row r="7">
      <c r="A7" s="11" t="inlineStr">
        <is>
          <t>Activation × conversion (signup → paying)</t>
        </is>
      </c>
      <c r="B7" s="33">
        <f>Inputs!B26*Inputs!B27</f>
        <v/>
      </c>
      <c r="C7" s="7" t="n"/>
    </row>
    <row r="8">
      <c r="A8" s="7" t="n"/>
      <c r="B8" s="7" t="n"/>
      <c r="C8" s="7" t="n"/>
    </row>
    <row r="9">
      <c r="A9" s="26" t="inlineStr">
        <is>
          <t>New paying families needed per month</t>
        </is>
      </c>
      <c r="B9" s="34">
        <f>IF(B6=0,B4/B5,B4*B6/(1-(1-B6)^B5))</f>
        <v/>
      </c>
      <c r="C9" s="8" t="inlineStr">
        <is>
          <t>Steady inflow N that grows to the target: N × (1 − (1 − churn)^months) / churn = target.</t>
        </is>
      </c>
    </row>
    <row r="10">
      <c r="A10" s="26" t="inlineStr">
        <is>
          <t>Signups needed per month</t>
        </is>
      </c>
      <c r="B10" s="34">
        <f>IF(B7=0,0,B9/B7)</f>
        <v/>
      </c>
      <c r="C10" s="7" t="n"/>
    </row>
    <row r="11">
      <c r="A11" s="11" t="inlineStr">
        <is>
          <t>Signups needed in total</t>
        </is>
      </c>
      <c r="B11" s="25">
        <f>B10*B5</f>
        <v/>
      </c>
      <c r="C11" s="7" t="n"/>
    </row>
    <row r="12">
      <c r="A12" s="11" t="inlineStr">
        <is>
          <t>Monthly ad budget if every signup were paid (zł)</t>
        </is>
      </c>
      <c r="B12" s="21">
        <f>B10*Inputs!B29</f>
        <v/>
      </c>
      <c r="C12" s="7" t="n"/>
    </row>
    <row r="13">
      <c r="A13" s="26" t="inlineStr">
        <is>
          <t>Monthly net revenue at 1,000 families (zł)</t>
        </is>
      </c>
      <c r="B13" s="29">
        <f>B4*'Unit economics'!B21</f>
        <v/>
      </c>
      <c r="C13" s="7" t="n"/>
    </row>
    <row r="14">
      <c r="A14" s="26" t="inlineStr">
        <is>
          <t>Monthly contribution at 1,000 families (zł)</t>
        </is>
      </c>
      <c r="B14" s="29">
        <f>B4*'Unit economics'!B24</f>
        <v/>
      </c>
      <c r="C14" s="7" t="n"/>
    </row>
    <row r="15">
      <c r="A15" s="7" t="n"/>
      <c r="B15" s="7" t="n"/>
      <c r="C15" s="7" t="n"/>
    </row>
    <row r="16">
      <c r="A16" s="10" t="inlineStr">
        <is>
          <t>Sensitivity: signups per month needed, by conversion</t>
        </is>
      </c>
      <c r="B16" s="7" t="n"/>
      <c r="C16" s="7" t="n"/>
    </row>
    <row r="17">
      <c r="A17" s="9" t="inlineStr">
        <is>
          <t>Conversion of activated families</t>
        </is>
      </c>
      <c r="B17" s="9" t="inlineStr">
        <is>
          <t>Signups / month</t>
        </is>
      </c>
      <c r="C17" s="9" t="inlineStr">
        <is>
          <t>Ad budget / month if all paid (zł)</t>
        </is>
      </c>
    </row>
    <row r="18">
      <c r="A18" s="13" t="n">
        <v>0.05</v>
      </c>
      <c r="B18" s="25">
        <f>IF(Inputs!$B$26*A18=0,0,$B$9/(Inputs!$B$26*A18))</f>
        <v/>
      </c>
      <c r="C18" s="21">
        <f>B18*Inputs!$B$29</f>
        <v/>
      </c>
    </row>
    <row r="19">
      <c r="A19" s="13" t="n">
        <v>0.08</v>
      </c>
      <c r="B19" s="25">
        <f>IF(Inputs!$B$26*A19=0,0,$B$9/(Inputs!$B$26*A19))</f>
        <v/>
      </c>
      <c r="C19" s="21">
        <f>B19*Inputs!$B$29</f>
        <v/>
      </c>
    </row>
    <row r="20">
      <c r="A20" s="13" t="n">
        <v>0.1</v>
      </c>
      <c r="B20" s="25">
        <f>IF(Inputs!$B$26*A20=0,0,$B$9/(Inputs!$B$26*A20))</f>
        <v/>
      </c>
      <c r="C20" s="21">
        <f>B20*Inputs!$B$29</f>
        <v/>
      </c>
    </row>
    <row r="21">
      <c r="A21" s="13" t="n">
        <v>0.15</v>
      </c>
      <c r="B21" s="25">
        <f>IF(Inputs!$B$26*A21=0,0,$B$9/(Inputs!$B$26*A21))</f>
        <v/>
      </c>
      <c r="C21" s="21">
        <f>B21*Inputs!$B$29</f>
        <v/>
      </c>
    </row>
    <row r="22">
      <c r="A22" s="13" t="n">
        <v>0.2</v>
      </c>
      <c r="B22" s="25">
        <f>IF(Inputs!$B$26*A22=0,0,$B$9/(Inputs!$B$26*A22))</f>
        <v/>
      </c>
      <c r="C22" s="21">
        <f>B22*Inputs!$B$29</f>
        <v/>
      </c>
    </row>
    <row r="23">
      <c r="A23" s="13" t="n">
        <v>0.3</v>
      </c>
      <c r="B23" s="25">
        <f>IF(Inputs!$B$26*A23=0,0,$B$9/(Inputs!$B$26*A23))</f>
        <v/>
      </c>
      <c r="C23" s="21">
        <f>B23*Inputs!$B$29</f>
        <v/>
      </c>
    </row>
    <row r="24">
      <c r="A24" s="7" t="n"/>
      <c r="B24" s="7" t="n"/>
      <c r="C24" s="7" t="n"/>
    </row>
    <row r="25">
      <c r="A25" s="8" t="inlineStr">
        <is>
          <t>Read it like this: doubling conversion halves the signups you need. That's why the cohort test comes before any ad budget.</t>
        </is>
      </c>
      <c r="B25" s="7" t="n"/>
      <c r="C25" s="7"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T58"/>
  <sheetViews>
    <sheetView showGridLines="0" workbookViewId="0">
      <pane xSplit="2" ySplit="3" topLeftCell="C4" activePane="bottomRight" state="frozen"/>
      <selection pane="topRight"/>
      <selection pane="bottomLeft"/>
      <selection pane="bottomRight" activeCell="A1" sqref="A1"/>
    </sheetView>
  </sheetViews>
  <sheetFormatPr baseColWidth="8" defaultRowHeight="15"/>
  <cols>
    <col width="44" customWidth="1" min="1" max="1"/>
    <col width="12"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s>
  <sheetData>
    <row r="1">
      <c r="A1" s="6" t="inlineStr">
        <is>
          <t>18-month plan: bootstrapped vs pre-seed (złoty, by month)</t>
        </is>
      </c>
      <c r="B1" s="7" t="n"/>
      <c r="C1" s="7" t="n"/>
      <c r="D1" s="7" t="n"/>
      <c r="E1" s="7" t="n"/>
      <c r="F1" s="7" t="n"/>
      <c r="G1" s="7" t="n"/>
      <c r="H1" s="7" t="n"/>
      <c r="I1" s="7" t="n"/>
      <c r="J1" s="7" t="n"/>
      <c r="K1" s="7" t="n"/>
      <c r="L1" s="7" t="n"/>
      <c r="M1" s="7" t="n"/>
      <c r="N1" s="7" t="n"/>
      <c r="O1" s="7" t="n"/>
      <c r="P1" s="7" t="n"/>
      <c r="Q1" s="7" t="n"/>
      <c r="R1" s="7" t="n"/>
      <c r="S1" s="7" t="n"/>
      <c r="T1" s="7" t="n"/>
    </row>
    <row r="2">
      <c r="A2" s="8" t="inlineStr">
        <is>
          <t>Month 1 = the month after the cohort test (Jan 2027 if the round closes in Dec). Blue rows are the plan; edit them freely.</t>
        </is>
      </c>
      <c r="B2" s="7" t="n"/>
      <c r="C2" s="7" t="n"/>
      <c r="D2" s="7" t="n"/>
      <c r="E2" s="7" t="n"/>
      <c r="F2" s="7" t="n"/>
      <c r="G2" s="7" t="n"/>
      <c r="H2" s="7" t="n"/>
      <c r="I2" s="7" t="n"/>
      <c r="J2" s="7" t="n"/>
      <c r="K2" s="7" t="n"/>
      <c r="L2" s="7" t="n"/>
      <c r="M2" s="7" t="n"/>
      <c r="N2" s="7" t="n"/>
      <c r="O2" s="7" t="n"/>
      <c r="P2" s="7" t="n"/>
      <c r="Q2" s="7" t="n"/>
      <c r="R2" s="7" t="n"/>
      <c r="S2" s="7" t="n"/>
      <c r="T2" s="7" t="n"/>
    </row>
    <row r="3">
      <c r="A3" s="9" t="inlineStr">
        <is>
          <t>Month</t>
        </is>
      </c>
      <c r="B3" s="9" t="inlineStr">
        <is>
          <t>Total</t>
        </is>
      </c>
      <c r="C3" s="35" t="inlineStr">
        <is>
          <t>M1</t>
        </is>
      </c>
      <c r="D3" s="35" t="inlineStr">
        <is>
          <t>M2</t>
        </is>
      </c>
      <c r="E3" s="35" t="inlineStr">
        <is>
          <t>M3</t>
        </is>
      </c>
      <c r="F3" s="35" t="inlineStr">
        <is>
          <t>M4</t>
        </is>
      </c>
      <c r="G3" s="35" t="inlineStr">
        <is>
          <t>M5</t>
        </is>
      </c>
      <c r="H3" s="35" t="inlineStr">
        <is>
          <t>M6</t>
        </is>
      </c>
      <c r="I3" s="35" t="inlineStr">
        <is>
          <t>M7</t>
        </is>
      </c>
      <c r="J3" s="35" t="inlineStr">
        <is>
          <t>M8</t>
        </is>
      </c>
      <c r="K3" s="35" t="inlineStr">
        <is>
          <t>M9</t>
        </is>
      </c>
      <c r="L3" s="35" t="inlineStr">
        <is>
          <t>M10</t>
        </is>
      </c>
      <c r="M3" s="35" t="inlineStr">
        <is>
          <t>M11</t>
        </is>
      </c>
      <c r="N3" s="35" t="inlineStr">
        <is>
          <t>M12</t>
        </is>
      </c>
      <c r="O3" s="35" t="inlineStr">
        <is>
          <t>M13</t>
        </is>
      </c>
      <c r="P3" s="35" t="inlineStr">
        <is>
          <t>M14</t>
        </is>
      </c>
      <c r="Q3" s="35" t="inlineStr">
        <is>
          <t>M15</t>
        </is>
      </c>
      <c r="R3" s="35" t="inlineStr">
        <is>
          <t>M16</t>
        </is>
      </c>
      <c r="S3" s="35" t="inlineStr">
        <is>
          <t>M17</t>
        </is>
      </c>
      <c r="T3" s="35" t="inlineStr">
        <is>
          <t>M18</t>
        </is>
      </c>
    </row>
    <row r="4">
      <c r="A4" s="7" t="n"/>
      <c r="B4" s="7" t="n"/>
      <c r="C4" s="7" t="n"/>
      <c r="D4" s="7" t="n"/>
      <c r="E4" s="7" t="n"/>
      <c r="F4" s="7" t="n"/>
      <c r="G4" s="7" t="n"/>
      <c r="H4" s="7" t="n"/>
      <c r="I4" s="7" t="n"/>
      <c r="J4" s="7" t="n"/>
      <c r="K4" s="7" t="n"/>
      <c r="L4" s="7" t="n"/>
      <c r="M4" s="7" t="n"/>
      <c r="N4" s="7" t="n"/>
      <c r="O4" s="7" t="n"/>
      <c r="P4" s="7" t="n"/>
      <c r="Q4" s="7" t="n"/>
      <c r="R4" s="7" t="n"/>
      <c r="S4" s="7" t="n"/>
      <c r="T4" s="7" t="n"/>
    </row>
    <row r="5">
      <c r="A5" s="10" t="inlineStr">
        <is>
          <t>A. Bootstrapped: Wiktor alone, no ads, living on ~3,000 zł/month</t>
        </is>
      </c>
      <c r="B5" s="7" t="n"/>
      <c r="C5" s="7" t="n"/>
      <c r="D5" s="7" t="n"/>
      <c r="E5" s="7" t="n"/>
      <c r="F5" s="7" t="n"/>
      <c r="G5" s="7" t="n"/>
      <c r="H5" s="7" t="n"/>
      <c r="I5" s="7" t="n"/>
      <c r="J5" s="7" t="n"/>
      <c r="K5" s="7" t="n"/>
      <c r="L5" s="7" t="n"/>
      <c r="M5" s="7" t="n"/>
      <c r="N5" s="7" t="n"/>
      <c r="O5" s="7" t="n"/>
      <c r="P5" s="7" t="n"/>
      <c r="Q5" s="7" t="n"/>
      <c r="R5" s="7" t="n"/>
      <c r="S5" s="7" t="n"/>
      <c r="T5" s="7" t="n"/>
    </row>
    <row r="6">
      <c r="A6" s="11" t="inlineStr">
        <is>
          <t>Organic signups</t>
        </is>
      </c>
      <c r="B6" s="36">
        <f>SUM(C6:T6)</f>
        <v/>
      </c>
      <c r="C6" s="25">
        <f>Inputs!$B$32</f>
        <v/>
      </c>
      <c r="D6" s="25">
        <f>C6*(1+Inputs!$B$33)</f>
        <v/>
      </c>
      <c r="E6" s="25">
        <f>D6*(1+Inputs!$B$33)</f>
        <v/>
      </c>
      <c r="F6" s="25">
        <f>E6*(1+Inputs!$B$33)</f>
        <v/>
      </c>
      <c r="G6" s="25">
        <f>F6*(1+Inputs!$B$33)</f>
        <v/>
      </c>
      <c r="H6" s="25">
        <f>G6*(1+Inputs!$B$33)</f>
        <v/>
      </c>
      <c r="I6" s="25">
        <f>H6*(1+Inputs!$B$33)</f>
        <v/>
      </c>
      <c r="J6" s="25">
        <f>I6*(1+Inputs!$B$33)</f>
        <v/>
      </c>
      <c r="K6" s="25">
        <f>J6*(1+Inputs!$B$33)</f>
        <v/>
      </c>
      <c r="L6" s="25">
        <f>K6*(1+Inputs!$B$33)</f>
        <v/>
      </c>
      <c r="M6" s="25">
        <f>L6*(1+Inputs!$B$33)</f>
        <v/>
      </c>
      <c r="N6" s="25">
        <f>M6*(1+Inputs!$B$33)</f>
        <v/>
      </c>
      <c r="O6" s="25">
        <f>N6*(1+Inputs!$B$33)</f>
        <v/>
      </c>
      <c r="P6" s="25">
        <f>O6*(1+Inputs!$B$33)</f>
        <v/>
      </c>
      <c r="Q6" s="25">
        <f>P6*(1+Inputs!$B$33)</f>
        <v/>
      </c>
      <c r="R6" s="25">
        <f>Q6*(1+Inputs!$B$33)</f>
        <v/>
      </c>
      <c r="S6" s="25">
        <f>R6*(1+Inputs!$B$33)</f>
        <v/>
      </c>
      <c r="T6" s="25">
        <f>S6*(1+Inputs!$B$33)</f>
        <v/>
      </c>
    </row>
    <row r="7">
      <c r="A7" s="11" t="inlineStr">
        <is>
          <t>Ad budget (zł)</t>
        </is>
      </c>
      <c r="B7" s="37">
        <f>SUM(C7:T7)</f>
        <v/>
      </c>
      <c r="C7" s="38" t="n">
        <v>0</v>
      </c>
      <c r="D7" s="38" t="n">
        <v>0</v>
      </c>
      <c r="E7" s="38" t="n">
        <v>0</v>
      </c>
      <c r="F7" s="38" t="n">
        <v>0</v>
      </c>
      <c r="G7" s="38" t="n">
        <v>0</v>
      </c>
      <c r="H7" s="38" t="n">
        <v>0</v>
      </c>
      <c r="I7" s="38" t="n">
        <v>0</v>
      </c>
      <c r="J7" s="38" t="n">
        <v>0</v>
      </c>
      <c r="K7" s="38" t="n">
        <v>0</v>
      </c>
      <c r="L7" s="38" t="n">
        <v>0</v>
      </c>
      <c r="M7" s="38" t="n">
        <v>0</v>
      </c>
      <c r="N7" s="38" t="n">
        <v>0</v>
      </c>
      <c r="O7" s="38" t="n">
        <v>0</v>
      </c>
      <c r="P7" s="38" t="n">
        <v>0</v>
      </c>
      <c r="Q7" s="38" t="n">
        <v>0</v>
      </c>
      <c r="R7" s="38" t="n">
        <v>0</v>
      </c>
      <c r="S7" s="38" t="n">
        <v>0</v>
      </c>
      <c r="T7" s="38" t="n">
        <v>0</v>
      </c>
    </row>
    <row r="8">
      <c r="A8" s="11" t="inlineStr">
        <is>
          <t>Signups from ads</t>
        </is>
      </c>
      <c r="B8" s="36">
        <f>SUM(C8:T8)</f>
        <v/>
      </c>
      <c r="C8" s="25">
        <f>IF(Inputs!$B$29=0,0,C7/Inputs!$B$29)</f>
        <v/>
      </c>
      <c r="D8" s="25">
        <f>IF(Inputs!$B$29=0,0,D7/Inputs!$B$29)</f>
        <v/>
      </c>
      <c r="E8" s="25">
        <f>IF(Inputs!$B$29=0,0,E7/Inputs!$B$29)</f>
        <v/>
      </c>
      <c r="F8" s="25">
        <f>IF(Inputs!$B$29=0,0,F7/Inputs!$B$29)</f>
        <v/>
      </c>
      <c r="G8" s="25">
        <f>IF(Inputs!$B$29=0,0,G7/Inputs!$B$29)</f>
        <v/>
      </c>
      <c r="H8" s="25">
        <f>IF(Inputs!$B$29=0,0,H7/Inputs!$B$29)</f>
        <v/>
      </c>
      <c r="I8" s="25">
        <f>IF(Inputs!$B$29=0,0,I7/Inputs!$B$29)</f>
        <v/>
      </c>
      <c r="J8" s="25">
        <f>IF(Inputs!$B$29=0,0,J7/Inputs!$B$29)</f>
        <v/>
      </c>
      <c r="K8" s="25">
        <f>IF(Inputs!$B$29=0,0,K7/Inputs!$B$29)</f>
        <v/>
      </c>
      <c r="L8" s="25">
        <f>IF(Inputs!$B$29=0,0,L7/Inputs!$B$29)</f>
        <v/>
      </c>
      <c r="M8" s="25">
        <f>IF(Inputs!$B$29=0,0,M7/Inputs!$B$29)</f>
        <v/>
      </c>
      <c r="N8" s="25">
        <f>IF(Inputs!$B$29=0,0,N7/Inputs!$B$29)</f>
        <v/>
      </c>
      <c r="O8" s="25">
        <f>IF(Inputs!$B$29=0,0,O7/Inputs!$B$29)</f>
        <v/>
      </c>
      <c r="P8" s="25">
        <f>IF(Inputs!$B$29=0,0,P7/Inputs!$B$29)</f>
        <v/>
      </c>
      <c r="Q8" s="25">
        <f>IF(Inputs!$B$29=0,0,Q7/Inputs!$B$29)</f>
        <v/>
      </c>
      <c r="R8" s="25">
        <f>IF(Inputs!$B$29=0,0,R7/Inputs!$B$29)</f>
        <v/>
      </c>
      <c r="S8" s="25">
        <f>IF(Inputs!$B$29=0,0,S7/Inputs!$B$29)</f>
        <v/>
      </c>
      <c r="T8" s="25">
        <f>IF(Inputs!$B$29=0,0,T7/Inputs!$B$29)</f>
        <v/>
      </c>
    </row>
    <row r="9">
      <c r="A9" s="11" t="inlineStr">
        <is>
          <t>Signups, total</t>
        </is>
      </c>
      <c r="B9" s="36">
        <f>SUM(C9:T9)</f>
        <v/>
      </c>
      <c r="C9" s="25">
        <f>C6+C8</f>
        <v/>
      </c>
      <c r="D9" s="25">
        <f>D6+D8</f>
        <v/>
      </c>
      <c r="E9" s="25">
        <f>E6+E8</f>
        <v/>
      </c>
      <c r="F9" s="25">
        <f>F6+F8</f>
        <v/>
      </c>
      <c r="G9" s="25">
        <f>G6+G8</f>
        <v/>
      </c>
      <c r="H9" s="25">
        <f>H6+H8</f>
        <v/>
      </c>
      <c r="I9" s="25">
        <f>I6+I8</f>
        <v/>
      </c>
      <c r="J9" s="25">
        <f>J6+J8</f>
        <v/>
      </c>
      <c r="K9" s="25">
        <f>K6+K8</f>
        <v/>
      </c>
      <c r="L9" s="25">
        <f>L6+L8</f>
        <v/>
      </c>
      <c r="M9" s="25">
        <f>M6+M8</f>
        <v/>
      </c>
      <c r="N9" s="25">
        <f>N6+N8</f>
        <v/>
      </c>
      <c r="O9" s="25">
        <f>O6+O8</f>
        <v/>
      </c>
      <c r="P9" s="25">
        <f>P6+P8</f>
        <v/>
      </c>
      <c r="Q9" s="25">
        <f>Q6+Q8</f>
        <v/>
      </c>
      <c r="R9" s="25">
        <f>R6+R8</f>
        <v/>
      </c>
      <c r="S9" s="25">
        <f>S6+S8</f>
        <v/>
      </c>
      <c r="T9" s="25">
        <f>T6+T8</f>
        <v/>
      </c>
    </row>
    <row r="10">
      <c r="A10" s="11" t="inlineStr">
        <is>
          <t>Families who finish a first lesson</t>
        </is>
      </c>
      <c r="B10" s="36">
        <f>SUM(C10:T10)</f>
        <v/>
      </c>
      <c r="C10" s="25">
        <f>C9*Inputs!$B$26</f>
        <v/>
      </c>
      <c r="D10" s="25">
        <f>D9*Inputs!$B$26</f>
        <v/>
      </c>
      <c r="E10" s="25">
        <f>E9*Inputs!$B$26</f>
        <v/>
      </c>
      <c r="F10" s="25">
        <f>F9*Inputs!$B$26</f>
        <v/>
      </c>
      <c r="G10" s="25">
        <f>G9*Inputs!$B$26</f>
        <v/>
      </c>
      <c r="H10" s="25">
        <f>H9*Inputs!$B$26</f>
        <v/>
      </c>
      <c r="I10" s="25">
        <f>I9*Inputs!$B$26</f>
        <v/>
      </c>
      <c r="J10" s="25">
        <f>J9*Inputs!$B$26</f>
        <v/>
      </c>
      <c r="K10" s="25">
        <f>K9*Inputs!$B$26</f>
        <v/>
      </c>
      <c r="L10" s="25">
        <f>L9*Inputs!$B$26</f>
        <v/>
      </c>
      <c r="M10" s="25">
        <f>M9*Inputs!$B$26</f>
        <v/>
      </c>
      <c r="N10" s="25">
        <f>N9*Inputs!$B$26</f>
        <v/>
      </c>
      <c r="O10" s="25">
        <f>O9*Inputs!$B$26</f>
        <v/>
      </c>
      <c r="P10" s="25">
        <f>P9*Inputs!$B$26</f>
        <v/>
      </c>
      <c r="Q10" s="25">
        <f>Q9*Inputs!$B$26</f>
        <v/>
      </c>
      <c r="R10" s="25">
        <f>R9*Inputs!$B$26</f>
        <v/>
      </c>
      <c r="S10" s="25">
        <f>S9*Inputs!$B$26</f>
        <v/>
      </c>
      <c r="T10" s="25">
        <f>T9*Inputs!$B$26</f>
        <v/>
      </c>
    </row>
    <row r="11">
      <c r="A11" s="11" t="inlineStr">
        <is>
          <t>New paying families</t>
        </is>
      </c>
      <c r="B11" s="36">
        <f>SUM(C11:T11)</f>
        <v/>
      </c>
      <c r="C11" s="24">
        <f>C10*Inputs!$B$27</f>
        <v/>
      </c>
      <c r="D11" s="24">
        <f>D10*Inputs!$B$27</f>
        <v/>
      </c>
      <c r="E11" s="24">
        <f>E10*Inputs!$B$27</f>
        <v/>
      </c>
      <c r="F11" s="24">
        <f>F10*Inputs!$B$27</f>
        <v/>
      </c>
      <c r="G11" s="24">
        <f>G10*Inputs!$B$27</f>
        <v/>
      </c>
      <c r="H11" s="24">
        <f>H10*Inputs!$B$27</f>
        <v/>
      </c>
      <c r="I11" s="24">
        <f>I10*Inputs!$B$27</f>
        <v/>
      </c>
      <c r="J11" s="24">
        <f>J10*Inputs!$B$27</f>
        <v/>
      </c>
      <c r="K11" s="24">
        <f>K10*Inputs!$B$27</f>
        <v/>
      </c>
      <c r="L11" s="24">
        <f>L10*Inputs!$B$27</f>
        <v/>
      </c>
      <c r="M11" s="24">
        <f>M10*Inputs!$B$27</f>
        <v/>
      </c>
      <c r="N11" s="24">
        <f>N10*Inputs!$B$27</f>
        <v/>
      </c>
      <c r="O11" s="24">
        <f>O10*Inputs!$B$27</f>
        <v/>
      </c>
      <c r="P11" s="24">
        <f>P10*Inputs!$B$27</f>
        <v/>
      </c>
      <c r="Q11" s="24">
        <f>Q10*Inputs!$B$27</f>
        <v/>
      </c>
      <c r="R11" s="24">
        <f>R10*Inputs!$B$27</f>
        <v/>
      </c>
      <c r="S11" s="24">
        <f>S10*Inputs!$B$27</f>
        <v/>
      </c>
      <c r="T11" s="24">
        <f>T10*Inputs!$B$27</f>
        <v/>
      </c>
    </row>
    <row r="12">
      <c r="A12" s="26" t="inlineStr">
        <is>
          <t>Paying families (end of month)</t>
        </is>
      </c>
      <c r="B12" s="36">
        <f>T12</f>
        <v/>
      </c>
      <c r="C12" s="34">
        <f>10*(1-Inputs!$B$28)+C11</f>
        <v/>
      </c>
      <c r="D12" s="34">
        <f>C12*(1-Inputs!$B$28)+D11</f>
        <v/>
      </c>
      <c r="E12" s="34">
        <f>D12*(1-Inputs!$B$28)+E11</f>
        <v/>
      </c>
      <c r="F12" s="34">
        <f>E12*(1-Inputs!$B$28)+F11</f>
        <v/>
      </c>
      <c r="G12" s="34">
        <f>F12*(1-Inputs!$B$28)+G11</f>
        <v/>
      </c>
      <c r="H12" s="34">
        <f>G12*(1-Inputs!$B$28)+H11</f>
        <v/>
      </c>
      <c r="I12" s="34">
        <f>H12*(1-Inputs!$B$28)+I11</f>
        <v/>
      </c>
      <c r="J12" s="34">
        <f>I12*(1-Inputs!$B$28)+J11</f>
        <v/>
      </c>
      <c r="K12" s="34">
        <f>J12*(1-Inputs!$B$28)+K11</f>
        <v/>
      </c>
      <c r="L12" s="34">
        <f>K12*(1-Inputs!$B$28)+L11</f>
        <v/>
      </c>
      <c r="M12" s="34">
        <f>L12*(1-Inputs!$B$28)+M11</f>
        <v/>
      </c>
      <c r="N12" s="34">
        <f>M12*(1-Inputs!$B$28)+N11</f>
        <v/>
      </c>
      <c r="O12" s="34">
        <f>N12*(1-Inputs!$B$28)+O11</f>
        <v/>
      </c>
      <c r="P12" s="34">
        <f>O12*(1-Inputs!$B$28)+P11</f>
        <v/>
      </c>
      <c r="Q12" s="34">
        <f>P12*(1-Inputs!$B$28)+Q11</f>
        <v/>
      </c>
      <c r="R12" s="34">
        <f>Q12*(1-Inputs!$B$28)+R11</f>
        <v/>
      </c>
      <c r="S12" s="34">
        <f>R12*(1-Inputs!$B$28)+S11</f>
        <v/>
      </c>
      <c r="T12" s="34">
        <f>S12*(1-Inputs!$B$28)+T11</f>
        <v/>
      </c>
    </row>
    <row r="13">
      <c r="A13" s="11" t="inlineStr">
        <is>
          <t>Net revenue (zł)</t>
        </is>
      </c>
      <c r="B13" s="37">
        <f>SUM(C13:T13)</f>
        <v/>
      </c>
      <c r="C13" s="21">
        <f>C12*'Unit economics'!$B$21</f>
        <v/>
      </c>
      <c r="D13" s="21">
        <f>D12*'Unit economics'!$B$21</f>
        <v/>
      </c>
      <c r="E13" s="21">
        <f>E12*'Unit economics'!$B$21</f>
        <v/>
      </c>
      <c r="F13" s="21">
        <f>F12*'Unit economics'!$B$21</f>
        <v/>
      </c>
      <c r="G13" s="21">
        <f>G12*'Unit economics'!$B$21</f>
        <v/>
      </c>
      <c r="H13" s="21">
        <f>H12*'Unit economics'!$B$21</f>
        <v/>
      </c>
      <c r="I13" s="21">
        <f>I12*'Unit economics'!$B$21</f>
        <v/>
      </c>
      <c r="J13" s="21">
        <f>J12*'Unit economics'!$B$21</f>
        <v/>
      </c>
      <c r="K13" s="21">
        <f>K12*'Unit economics'!$B$21</f>
        <v/>
      </c>
      <c r="L13" s="21">
        <f>L12*'Unit economics'!$B$21</f>
        <v/>
      </c>
      <c r="M13" s="21">
        <f>M12*'Unit economics'!$B$21</f>
        <v/>
      </c>
      <c r="N13" s="21">
        <f>N12*'Unit economics'!$B$21</f>
        <v/>
      </c>
      <c r="O13" s="21">
        <f>O12*'Unit economics'!$B$21</f>
        <v/>
      </c>
      <c r="P13" s="21">
        <f>P12*'Unit economics'!$B$21</f>
        <v/>
      </c>
      <c r="Q13" s="21">
        <f>Q12*'Unit economics'!$B$21</f>
        <v/>
      </c>
      <c r="R13" s="21">
        <f>R12*'Unit economics'!$B$21</f>
        <v/>
      </c>
      <c r="S13" s="21">
        <f>S12*'Unit economics'!$B$21</f>
        <v/>
      </c>
      <c r="T13" s="21">
        <f>T12*'Unit economics'!$B$21</f>
        <v/>
      </c>
    </row>
    <row r="14">
      <c r="A14" s="11" t="inlineStr">
        <is>
          <t>AI cost of paying families (zł)</t>
        </is>
      </c>
      <c r="B14" s="37">
        <f>SUM(C14:T14)</f>
        <v/>
      </c>
      <c r="C14" s="21">
        <f>C12*'Unit economics'!$B$22</f>
        <v/>
      </c>
      <c r="D14" s="21">
        <f>D12*'Unit economics'!$B$22</f>
        <v/>
      </c>
      <c r="E14" s="21">
        <f>E12*'Unit economics'!$B$22</f>
        <v/>
      </c>
      <c r="F14" s="21">
        <f>F12*'Unit economics'!$B$22</f>
        <v/>
      </c>
      <c r="G14" s="21">
        <f>G12*'Unit economics'!$B$22</f>
        <v/>
      </c>
      <c r="H14" s="21">
        <f>H12*'Unit economics'!$B$22</f>
        <v/>
      </c>
      <c r="I14" s="21">
        <f>I12*'Unit economics'!$B$22</f>
        <v/>
      </c>
      <c r="J14" s="21">
        <f>J12*'Unit economics'!$B$22</f>
        <v/>
      </c>
      <c r="K14" s="21">
        <f>K12*'Unit economics'!$B$22</f>
        <v/>
      </c>
      <c r="L14" s="21">
        <f>L12*'Unit economics'!$B$22</f>
        <v/>
      </c>
      <c r="M14" s="21">
        <f>M12*'Unit economics'!$B$22</f>
        <v/>
      </c>
      <c r="N14" s="21">
        <f>N12*'Unit economics'!$B$22</f>
        <v/>
      </c>
      <c r="O14" s="21">
        <f>O12*'Unit economics'!$B$22</f>
        <v/>
      </c>
      <c r="P14" s="21">
        <f>P12*'Unit economics'!$B$22</f>
        <v/>
      </c>
      <c r="Q14" s="21">
        <f>Q12*'Unit economics'!$B$22</f>
        <v/>
      </c>
      <c r="R14" s="21">
        <f>R12*'Unit economics'!$B$22</f>
        <v/>
      </c>
      <c r="S14" s="21">
        <f>S12*'Unit economics'!$B$22</f>
        <v/>
      </c>
      <c r="T14" s="21">
        <f>T12*'Unit economics'!$B$22</f>
        <v/>
      </c>
    </row>
    <row r="15">
      <c r="A15" s="11" t="inlineStr">
        <is>
          <t>AI cost of free accounts (zł)</t>
        </is>
      </c>
      <c r="B15" s="37">
        <f>SUM(C15:T15)</f>
        <v/>
      </c>
      <c r="C15" s="21">
        <f>C10*Inputs!$B$15</f>
        <v/>
      </c>
      <c r="D15" s="21">
        <f>D10*Inputs!$B$15</f>
        <v/>
      </c>
      <c r="E15" s="21">
        <f>E10*Inputs!$B$15</f>
        <v/>
      </c>
      <c r="F15" s="21">
        <f>F10*Inputs!$B$15</f>
        <v/>
      </c>
      <c r="G15" s="21">
        <f>G10*Inputs!$B$15</f>
        <v/>
      </c>
      <c r="H15" s="21">
        <f>H10*Inputs!$B$15</f>
        <v/>
      </c>
      <c r="I15" s="21">
        <f>I10*Inputs!$B$15</f>
        <v/>
      </c>
      <c r="J15" s="21">
        <f>J10*Inputs!$B$15</f>
        <v/>
      </c>
      <c r="K15" s="21">
        <f>K10*Inputs!$B$15</f>
        <v/>
      </c>
      <c r="L15" s="21">
        <f>L10*Inputs!$B$15</f>
        <v/>
      </c>
      <c r="M15" s="21">
        <f>M10*Inputs!$B$15</f>
        <v/>
      </c>
      <c r="N15" s="21">
        <f>N10*Inputs!$B$15</f>
        <v/>
      </c>
      <c r="O15" s="21">
        <f>O10*Inputs!$B$15</f>
        <v/>
      </c>
      <c r="P15" s="21">
        <f>P10*Inputs!$B$15</f>
        <v/>
      </c>
      <c r="Q15" s="21">
        <f>Q10*Inputs!$B$15</f>
        <v/>
      </c>
      <c r="R15" s="21">
        <f>R10*Inputs!$B$15</f>
        <v/>
      </c>
      <c r="S15" s="21">
        <f>S10*Inputs!$B$15</f>
        <v/>
      </c>
      <c r="T15" s="21">
        <f>T10*Inputs!$B$15</f>
        <v/>
      </c>
    </row>
    <row r="16">
      <c r="A16" s="11" t="inlineStr">
        <is>
          <t>Payment fees (zł)</t>
        </is>
      </c>
      <c r="B16" s="37">
        <f>SUM(C16:T16)</f>
        <v/>
      </c>
      <c r="C16" s="21">
        <f>C12*'Unit economics'!$B$23</f>
        <v/>
      </c>
      <c r="D16" s="21">
        <f>D12*'Unit economics'!$B$23</f>
        <v/>
      </c>
      <c r="E16" s="21">
        <f>E12*'Unit economics'!$B$23</f>
        <v/>
      </c>
      <c r="F16" s="21">
        <f>F12*'Unit economics'!$B$23</f>
        <v/>
      </c>
      <c r="G16" s="21">
        <f>G12*'Unit economics'!$B$23</f>
        <v/>
      </c>
      <c r="H16" s="21">
        <f>H12*'Unit economics'!$B$23</f>
        <v/>
      </c>
      <c r="I16" s="21">
        <f>I12*'Unit economics'!$B$23</f>
        <v/>
      </c>
      <c r="J16" s="21">
        <f>J12*'Unit economics'!$B$23</f>
        <v/>
      </c>
      <c r="K16" s="21">
        <f>K12*'Unit economics'!$B$23</f>
        <v/>
      </c>
      <c r="L16" s="21">
        <f>L12*'Unit economics'!$B$23</f>
        <v/>
      </c>
      <c r="M16" s="21">
        <f>M12*'Unit economics'!$B$23</f>
        <v/>
      </c>
      <c r="N16" s="21">
        <f>N12*'Unit economics'!$B$23</f>
        <v/>
      </c>
      <c r="O16" s="21">
        <f>O12*'Unit economics'!$B$23</f>
        <v/>
      </c>
      <c r="P16" s="21">
        <f>P12*'Unit economics'!$B$23</f>
        <v/>
      </c>
      <c r="Q16" s="21">
        <f>Q12*'Unit economics'!$B$23</f>
        <v/>
      </c>
      <c r="R16" s="21">
        <f>R12*'Unit economics'!$B$23</f>
        <v/>
      </c>
      <c r="S16" s="21">
        <f>S12*'Unit economics'!$B$23</f>
        <v/>
      </c>
      <c r="T16" s="21">
        <f>T12*'Unit economics'!$B$23</f>
        <v/>
      </c>
    </row>
    <row r="17">
      <c r="A17" s="26" t="inlineStr">
        <is>
          <t>Contribution (zł)</t>
        </is>
      </c>
      <c r="B17" s="37">
        <f>SUM(C17:T17)</f>
        <v/>
      </c>
      <c r="C17" s="29">
        <f>C13-C14-C15-C16</f>
        <v/>
      </c>
      <c r="D17" s="29">
        <f>D13-D14-D15-D16</f>
        <v/>
      </c>
      <c r="E17" s="29">
        <f>E13-E14-E15-E16</f>
        <v/>
      </c>
      <c r="F17" s="29">
        <f>F13-F14-F15-F16</f>
        <v/>
      </c>
      <c r="G17" s="29">
        <f>G13-G14-G15-G16</f>
        <v/>
      </c>
      <c r="H17" s="29">
        <f>H13-H14-H15-H16</f>
        <v/>
      </c>
      <c r="I17" s="29">
        <f>I13-I14-I15-I16</f>
        <v/>
      </c>
      <c r="J17" s="29">
        <f>J13-J14-J15-J16</f>
        <v/>
      </c>
      <c r="K17" s="29">
        <f>K13-K14-K15-K16</f>
        <v/>
      </c>
      <c r="L17" s="29">
        <f>L13-L14-L15-L16</f>
        <v/>
      </c>
      <c r="M17" s="29">
        <f>M13-M14-M15-M16</f>
        <v/>
      </c>
      <c r="N17" s="29">
        <f>N13-N14-N15-N16</f>
        <v/>
      </c>
      <c r="O17" s="29">
        <f>O13-O14-O15-O16</f>
        <v/>
      </c>
      <c r="P17" s="29">
        <f>P13-P14-P15-P16</f>
        <v/>
      </c>
      <c r="Q17" s="29">
        <f>Q13-Q14-Q15-Q16</f>
        <v/>
      </c>
      <c r="R17" s="29">
        <f>R13-R14-R15-R16</f>
        <v/>
      </c>
      <c r="S17" s="29">
        <f>S13-S14-S15-S16</f>
        <v/>
      </c>
      <c r="T17" s="29">
        <f>T13-T14-T15-T16</f>
        <v/>
      </c>
    </row>
    <row r="18">
      <c r="A18" s="11" t="inlineStr">
        <is>
          <t>Founder pay (zł)</t>
        </is>
      </c>
      <c r="B18" s="37">
        <f>SUM(C18:T18)</f>
        <v/>
      </c>
      <c r="C18" s="38" t="n">
        <v>3000</v>
      </c>
      <c r="D18" s="38" t="n">
        <v>3000</v>
      </c>
      <c r="E18" s="38" t="n">
        <v>3000</v>
      </c>
      <c r="F18" s="38" t="n">
        <v>3000</v>
      </c>
      <c r="G18" s="38" t="n">
        <v>3000</v>
      </c>
      <c r="H18" s="38" t="n">
        <v>3000</v>
      </c>
      <c r="I18" s="38" t="n">
        <v>3000</v>
      </c>
      <c r="J18" s="38" t="n">
        <v>3000</v>
      </c>
      <c r="K18" s="38" t="n">
        <v>3000</v>
      </c>
      <c r="L18" s="38" t="n">
        <v>3000</v>
      </c>
      <c r="M18" s="38" t="n">
        <v>3000</v>
      </c>
      <c r="N18" s="38" t="n">
        <v>3000</v>
      </c>
      <c r="O18" s="38" t="n">
        <v>3000</v>
      </c>
      <c r="P18" s="38" t="n">
        <v>3000</v>
      </c>
      <c r="Q18" s="38" t="n">
        <v>3000</v>
      </c>
      <c r="R18" s="38" t="n">
        <v>3000</v>
      </c>
      <c r="S18" s="38" t="n">
        <v>3000</v>
      </c>
      <c r="T18" s="38" t="n">
        <v>3000</v>
      </c>
    </row>
    <row r="19">
      <c r="A19" s="11" t="inlineStr">
        <is>
          <t>Growth / community hire (zł)</t>
        </is>
      </c>
      <c r="B19" s="37">
        <f>SUM(C19:T19)</f>
        <v/>
      </c>
      <c r="C19" s="38" t="n">
        <v>0</v>
      </c>
      <c r="D19" s="38" t="n">
        <v>0</v>
      </c>
      <c r="E19" s="38" t="n">
        <v>0</v>
      </c>
      <c r="F19" s="38" t="n">
        <v>0</v>
      </c>
      <c r="G19" s="38" t="n">
        <v>0</v>
      </c>
      <c r="H19" s="38" t="n">
        <v>0</v>
      </c>
      <c r="I19" s="38" t="n">
        <v>0</v>
      </c>
      <c r="J19" s="38" t="n">
        <v>0</v>
      </c>
      <c r="K19" s="38" t="n">
        <v>0</v>
      </c>
      <c r="L19" s="38" t="n">
        <v>0</v>
      </c>
      <c r="M19" s="38" t="n">
        <v>0</v>
      </c>
      <c r="N19" s="38" t="n">
        <v>0</v>
      </c>
      <c r="O19" s="38" t="n">
        <v>0</v>
      </c>
      <c r="P19" s="38" t="n">
        <v>0</v>
      </c>
      <c r="Q19" s="38" t="n">
        <v>0</v>
      </c>
      <c r="R19" s="38" t="n">
        <v>0</v>
      </c>
      <c r="S19" s="38" t="n">
        <v>0</v>
      </c>
      <c r="T19" s="38" t="n">
        <v>0</v>
      </c>
    </row>
    <row r="20">
      <c r="A20" s="11" t="inlineStr">
        <is>
          <t>Pedagogy &amp; content lead, part-time (zł)</t>
        </is>
      </c>
      <c r="B20" s="37">
        <f>SUM(C20:T20)</f>
        <v/>
      </c>
      <c r="C20" s="38" t="n">
        <v>0</v>
      </c>
      <c r="D20" s="38" t="n">
        <v>0</v>
      </c>
      <c r="E20" s="38" t="n">
        <v>0</v>
      </c>
      <c r="F20" s="38" t="n">
        <v>0</v>
      </c>
      <c r="G20" s="38" t="n">
        <v>0</v>
      </c>
      <c r="H20" s="38" t="n">
        <v>0</v>
      </c>
      <c r="I20" s="38" t="n">
        <v>0</v>
      </c>
      <c r="J20" s="38" t="n">
        <v>0</v>
      </c>
      <c r="K20" s="38" t="n">
        <v>0</v>
      </c>
      <c r="L20" s="38" t="n">
        <v>0</v>
      </c>
      <c r="M20" s="38" t="n">
        <v>0</v>
      </c>
      <c r="N20" s="38" t="n">
        <v>0</v>
      </c>
      <c r="O20" s="38" t="n">
        <v>0</v>
      </c>
      <c r="P20" s="38" t="n">
        <v>0</v>
      </c>
      <c r="Q20" s="38" t="n">
        <v>0</v>
      </c>
      <c r="R20" s="38" t="n">
        <v>0</v>
      </c>
      <c r="S20" s="38" t="n">
        <v>0</v>
      </c>
      <c r="T20" s="38" t="n">
        <v>0</v>
      </c>
    </row>
    <row r="21">
      <c r="A21" s="11" t="inlineStr">
        <is>
          <t>Mobile apps &amp; design contractor (zł)</t>
        </is>
      </c>
      <c r="B21" s="37">
        <f>SUM(C21:T21)</f>
        <v/>
      </c>
      <c r="C21" s="38" t="n">
        <v>0</v>
      </c>
      <c r="D21" s="38" t="n">
        <v>0</v>
      </c>
      <c r="E21" s="38" t="n">
        <v>0</v>
      </c>
      <c r="F21" s="38" t="n">
        <v>0</v>
      </c>
      <c r="G21" s="38" t="n">
        <v>0</v>
      </c>
      <c r="H21" s="38" t="n">
        <v>0</v>
      </c>
      <c r="I21" s="38" t="n">
        <v>0</v>
      </c>
      <c r="J21" s="38" t="n">
        <v>0</v>
      </c>
      <c r="K21" s="38" t="n">
        <v>0</v>
      </c>
      <c r="L21" s="38" t="n">
        <v>0</v>
      </c>
      <c r="M21" s="38" t="n">
        <v>0</v>
      </c>
      <c r="N21" s="38" t="n">
        <v>0</v>
      </c>
      <c r="O21" s="38" t="n">
        <v>0</v>
      </c>
      <c r="P21" s="38" t="n">
        <v>0</v>
      </c>
      <c r="Q21" s="38" t="n">
        <v>0</v>
      </c>
      <c r="R21" s="38" t="n">
        <v>0</v>
      </c>
      <c r="S21" s="38" t="n">
        <v>0</v>
      </c>
      <c r="T21" s="38" t="n">
        <v>0</v>
      </c>
    </row>
    <row r="22">
      <c r="A22" s="11" t="inlineStr">
        <is>
          <t>Legal, accounting, Polish company (zł)</t>
        </is>
      </c>
      <c r="B22" s="37">
        <f>SUM(C22:T22)</f>
        <v/>
      </c>
      <c r="C22" s="38" t="n">
        <v>0</v>
      </c>
      <c r="D22" s="38" t="n">
        <v>0</v>
      </c>
      <c r="E22" s="38" t="n">
        <v>0</v>
      </c>
      <c r="F22" s="38" t="n">
        <v>0</v>
      </c>
      <c r="G22" s="38" t="n">
        <v>0</v>
      </c>
      <c r="H22" s="38" t="n">
        <v>0</v>
      </c>
      <c r="I22" s="38" t="n">
        <v>0</v>
      </c>
      <c r="J22" s="38" t="n">
        <v>0</v>
      </c>
      <c r="K22" s="38" t="n">
        <v>0</v>
      </c>
      <c r="L22" s="38" t="n">
        <v>0</v>
      </c>
      <c r="M22" s="38" t="n">
        <v>0</v>
      </c>
      <c r="N22" s="38" t="n">
        <v>0</v>
      </c>
      <c r="O22" s="38" t="n">
        <v>0</v>
      </c>
      <c r="P22" s="38" t="n">
        <v>0</v>
      </c>
      <c r="Q22" s="38" t="n">
        <v>0</v>
      </c>
      <c r="R22" s="38" t="n">
        <v>0</v>
      </c>
      <c r="S22" s="38" t="n">
        <v>0</v>
      </c>
      <c r="T22" s="38" t="n">
        <v>0</v>
      </c>
    </row>
    <row r="23">
      <c r="A23" s="11" t="inlineStr">
        <is>
          <t>Infrastructure &amp; tools (zł)</t>
        </is>
      </c>
      <c r="B23" s="37">
        <f>SUM(C23:T23)</f>
        <v/>
      </c>
      <c r="C23" s="38" t="n">
        <v>500</v>
      </c>
      <c r="D23" s="38" t="n">
        <v>500</v>
      </c>
      <c r="E23" s="38" t="n">
        <v>500</v>
      </c>
      <c r="F23" s="38" t="n">
        <v>500</v>
      </c>
      <c r="G23" s="38" t="n">
        <v>500</v>
      </c>
      <c r="H23" s="38" t="n">
        <v>500</v>
      </c>
      <c r="I23" s="38" t="n">
        <v>500</v>
      </c>
      <c r="J23" s="38" t="n">
        <v>500</v>
      </c>
      <c r="K23" s="38" t="n">
        <v>500</v>
      </c>
      <c r="L23" s="38" t="n">
        <v>500</v>
      </c>
      <c r="M23" s="38" t="n">
        <v>500</v>
      </c>
      <c r="N23" s="38" t="n">
        <v>500</v>
      </c>
      <c r="O23" s="38" t="n">
        <v>500</v>
      </c>
      <c r="P23" s="38" t="n">
        <v>500</v>
      </c>
      <c r="Q23" s="38" t="n">
        <v>500</v>
      </c>
      <c r="R23" s="38" t="n">
        <v>500</v>
      </c>
      <c r="S23" s="38" t="n">
        <v>500</v>
      </c>
      <c r="T23" s="38" t="n">
        <v>500</v>
      </c>
    </row>
    <row r="24">
      <c r="A24" s="11" t="inlineStr">
        <is>
          <t>Team &amp; operations (zł)</t>
        </is>
      </c>
      <c r="B24" s="37">
        <f>SUM(C24:T24)</f>
        <v/>
      </c>
      <c r="C24" s="21">
        <f>SUM(C18:C23)</f>
        <v/>
      </c>
      <c r="D24" s="21">
        <f>SUM(D18:D23)</f>
        <v/>
      </c>
      <c r="E24" s="21">
        <f>SUM(E18:E23)</f>
        <v/>
      </c>
      <c r="F24" s="21">
        <f>SUM(F18:F23)</f>
        <v/>
      </c>
      <c r="G24" s="21">
        <f>SUM(G18:G23)</f>
        <v/>
      </c>
      <c r="H24" s="21">
        <f>SUM(H18:H23)</f>
        <v/>
      </c>
      <c r="I24" s="21">
        <f>SUM(I18:I23)</f>
        <v/>
      </c>
      <c r="J24" s="21">
        <f>SUM(J18:J23)</f>
        <v/>
      </c>
      <c r="K24" s="21">
        <f>SUM(K18:K23)</f>
        <v/>
      </c>
      <c r="L24" s="21">
        <f>SUM(L18:L23)</f>
        <v/>
      </c>
      <c r="M24" s="21">
        <f>SUM(M18:M23)</f>
        <v/>
      </c>
      <c r="N24" s="21">
        <f>SUM(N18:N23)</f>
        <v/>
      </c>
      <c r="O24" s="21">
        <f>SUM(O18:O23)</f>
        <v/>
      </c>
      <c r="P24" s="21">
        <f>SUM(P18:P23)</f>
        <v/>
      </c>
      <c r="Q24" s="21">
        <f>SUM(Q18:Q23)</f>
        <v/>
      </c>
      <c r="R24" s="21">
        <f>SUM(R18:R23)</f>
        <v/>
      </c>
      <c r="S24" s="21">
        <f>SUM(S18:S23)</f>
        <v/>
      </c>
      <c r="T24" s="21">
        <f>SUM(T18:T23)</f>
        <v/>
      </c>
    </row>
    <row r="25">
      <c r="A25" s="26" t="inlineStr">
        <is>
          <t>Net cash flow (zł)</t>
        </is>
      </c>
      <c r="B25" s="37">
        <f>SUM(C25:T25)</f>
        <v/>
      </c>
      <c r="C25" s="29">
        <f>C17-C24-C7</f>
        <v/>
      </c>
      <c r="D25" s="29">
        <f>D17-D24-D7</f>
        <v/>
      </c>
      <c r="E25" s="29">
        <f>E17-E24-E7</f>
        <v/>
      </c>
      <c r="F25" s="29">
        <f>F17-F24-F7</f>
        <v/>
      </c>
      <c r="G25" s="29">
        <f>G17-G24-G7</f>
        <v/>
      </c>
      <c r="H25" s="29">
        <f>H17-H24-H7</f>
        <v/>
      </c>
      <c r="I25" s="29">
        <f>I17-I24-I7</f>
        <v/>
      </c>
      <c r="J25" s="29">
        <f>J17-J24-J7</f>
        <v/>
      </c>
      <c r="K25" s="29">
        <f>K17-K24-K7</f>
        <v/>
      </c>
      <c r="L25" s="29">
        <f>L17-L24-L7</f>
        <v/>
      </c>
      <c r="M25" s="29">
        <f>M17-M24-M7</f>
        <v/>
      </c>
      <c r="N25" s="29">
        <f>N17-N24-N7</f>
        <v/>
      </c>
      <c r="O25" s="29">
        <f>O17-O24-O7</f>
        <v/>
      </c>
      <c r="P25" s="29">
        <f>P17-P24-P7</f>
        <v/>
      </c>
      <c r="Q25" s="29">
        <f>Q17-Q24-Q7</f>
        <v/>
      </c>
      <c r="R25" s="29">
        <f>R17-R24-R7</f>
        <v/>
      </c>
      <c r="S25" s="29">
        <f>S17-S24-S7</f>
        <v/>
      </c>
      <c r="T25" s="29">
        <f>T17-T24-T7</f>
        <v/>
      </c>
    </row>
    <row r="26">
      <c r="A26" s="26" t="inlineStr">
        <is>
          <t>Cash at end of month (zł)</t>
        </is>
      </c>
      <c r="B26" s="37">
        <f>T26</f>
        <v/>
      </c>
      <c r="C26" s="29">
        <f>0+C25</f>
        <v/>
      </c>
      <c r="D26" s="29">
        <f>C26+D25</f>
        <v/>
      </c>
      <c r="E26" s="29">
        <f>D26+E25</f>
        <v/>
      </c>
      <c r="F26" s="29">
        <f>E26+F25</f>
        <v/>
      </c>
      <c r="G26" s="29">
        <f>F26+G25</f>
        <v/>
      </c>
      <c r="H26" s="29">
        <f>G26+H25</f>
        <v/>
      </c>
      <c r="I26" s="29">
        <f>H26+I25</f>
        <v/>
      </c>
      <c r="J26" s="29">
        <f>I26+J25</f>
        <v/>
      </c>
      <c r="K26" s="29">
        <f>J26+K25</f>
        <v/>
      </c>
      <c r="L26" s="29">
        <f>K26+L25</f>
        <v/>
      </c>
      <c r="M26" s="29">
        <f>L26+M25</f>
        <v/>
      </c>
      <c r="N26" s="29">
        <f>M26+N25</f>
        <v/>
      </c>
      <c r="O26" s="29">
        <f>N26+O25</f>
        <v/>
      </c>
      <c r="P26" s="29">
        <f>O26+P25</f>
        <v/>
      </c>
      <c r="Q26" s="29">
        <f>P26+Q25</f>
        <v/>
      </c>
      <c r="R26" s="29">
        <f>Q26+R25</f>
        <v/>
      </c>
      <c r="S26" s="29">
        <f>R26+S25</f>
        <v/>
      </c>
      <c r="T26" s="29">
        <f>S26+T25</f>
        <v/>
      </c>
    </row>
    <row r="27">
      <c r="A27" s="7" t="n"/>
      <c r="B27" s="7" t="n"/>
      <c r="C27" s="7" t="n"/>
      <c r="D27" s="7" t="n"/>
      <c r="E27" s="7" t="n"/>
      <c r="F27" s="7" t="n"/>
      <c r="G27" s="7" t="n"/>
      <c r="H27" s="7" t="n"/>
      <c r="I27" s="7" t="n"/>
      <c r="J27" s="7" t="n"/>
      <c r="K27" s="7" t="n"/>
      <c r="L27" s="7" t="n"/>
      <c r="M27" s="7" t="n"/>
      <c r="N27" s="7" t="n"/>
      <c r="O27" s="7" t="n"/>
      <c r="P27" s="7" t="n"/>
      <c r="Q27" s="7" t="n"/>
      <c r="R27" s="7" t="n"/>
      <c r="S27" s="7" t="n"/>
      <c r="T27" s="7" t="n"/>
    </row>
    <row r="28">
      <c r="A28" s="10" t="inlineStr">
        <is>
          <t>B. Pre-seed: €250k, two part-time/full-time hires, ad tests from month 2</t>
        </is>
      </c>
      <c r="B28" s="7" t="n"/>
      <c r="C28" s="7" t="n"/>
      <c r="D28" s="7" t="n"/>
      <c r="E28" s="7" t="n"/>
      <c r="F28" s="7" t="n"/>
      <c r="G28" s="7" t="n"/>
      <c r="H28" s="7" t="n"/>
      <c r="I28" s="7" t="n"/>
      <c r="J28" s="7" t="n"/>
      <c r="K28" s="7" t="n"/>
      <c r="L28" s="7" t="n"/>
      <c r="M28" s="7" t="n"/>
      <c r="N28" s="7" t="n"/>
      <c r="O28" s="7" t="n"/>
      <c r="P28" s="7" t="n"/>
      <c r="Q28" s="7" t="n"/>
      <c r="R28" s="7" t="n"/>
      <c r="S28" s="7" t="n"/>
      <c r="T28" s="7" t="n"/>
    </row>
    <row r="29">
      <c r="A29" s="11" t="inlineStr">
        <is>
          <t>Organic signups</t>
        </is>
      </c>
      <c r="B29" s="36">
        <f>SUM(C29:T29)</f>
        <v/>
      </c>
      <c r="C29" s="25">
        <f>Inputs!$B$32*(1+Inputs!$B$33)^0*IF(1&gt;=3,Inputs!$B$34,1)</f>
        <v/>
      </c>
      <c r="D29" s="25">
        <f>Inputs!$B$32*(1+Inputs!$B$33)^1*IF(2&gt;=3,Inputs!$B$34,1)</f>
        <v/>
      </c>
      <c r="E29" s="25">
        <f>Inputs!$B$32*(1+Inputs!$B$33)^2*IF(3&gt;=3,Inputs!$B$34,1)</f>
        <v/>
      </c>
      <c r="F29" s="25">
        <f>Inputs!$B$32*(1+Inputs!$B$33)^3*IF(4&gt;=3,Inputs!$B$34,1)</f>
        <v/>
      </c>
      <c r="G29" s="25">
        <f>Inputs!$B$32*(1+Inputs!$B$33)^4*IF(5&gt;=3,Inputs!$B$34,1)</f>
        <v/>
      </c>
      <c r="H29" s="25">
        <f>Inputs!$B$32*(1+Inputs!$B$33)^5*IF(6&gt;=3,Inputs!$B$34,1)</f>
        <v/>
      </c>
      <c r="I29" s="25">
        <f>Inputs!$B$32*(1+Inputs!$B$33)^6*IF(7&gt;=3,Inputs!$B$34,1)</f>
        <v/>
      </c>
      <c r="J29" s="25">
        <f>Inputs!$B$32*(1+Inputs!$B$33)^7*IF(8&gt;=3,Inputs!$B$34,1)</f>
        <v/>
      </c>
      <c r="K29" s="25">
        <f>Inputs!$B$32*(1+Inputs!$B$33)^8*IF(9&gt;=3,Inputs!$B$34,1)</f>
        <v/>
      </c>
      <c r="L29" s="25">
        <f>Inputs!$B$32*(1+Inputs!$B$33)^9*IF(10&gt;=3,Inputs!$B$34,1)</f>
        <v/>
      </c>
      <c r="M29" s="25">
        <f>Inputs!$B$32*(1+Inputs!$B$33)^10*IF(11&gt;=3,Inputs!$B$34,1)</f>
        <v/>
      </c>
      <c r="N29" s="25">
        <f>Inputs!$B$32*(1+Inputs!$B$33)^11*IF(12&gt;=3,Inputs!$B$34,1)</f>
        <v/>
      </c>
      <c r="O29" s="25">
        <f>Inputs!$B$32*(1+Inputs!$B$33)^12*IF(13&gt;=3,Inputs!$B$34,1)</f>
        <v/>
      </c>
      <c r="P29" s="25">
        <f>Inputs!$B$32*(1+Inputs!$B$33)^13*IF(14&gt;=3,Inputs!$B$34,1)</f>
        <v/>
      </c>
      <c r="Q29" s="25">
        <f>Inputs!$B$32*(1+Inputs!$B$33)^14*IF(15&gt;=3,Inputs!$B$34,1)</f>
        <v/>
      </c>
      <c r="R29" s="25">
        <f>Inputs!$B$32*(1+Inputs!$B$33)^15*IF(16&gt;=3,Inputs!$B$34,1)</f>
        <v/>
      </c>
      <c r="S29" s="25">
        <f>Inputs!$B$32*(1+Inputs!$B$33)^16*IF(17&gt;=3,Inputs!$B$34,1)</f>
        <v/>
      </c>
      <c r="T29" s="25">
        <f>Inputs!$B$32*(1+Inputs!$B$33)^17*IF(18&gt;=3,Inputs!$B$34,1)</f>
        <v/>
      </c>
    </row>
    <row r="30">
      <c r="A30" s="11" t="inlineStr">
        <is>
          <t>Ad budget (zł)</t>
        </is>
      </c>
      <c r="B30" s="37">
        <f>SUM(C30:T30)</f>
        <v/>
      </c>
      <c r="C30" s="38" t="n">
        <v>0</v>
      </c>
      <c r="D30" s="38" t="n">
        <v>3000</v>
      </c>
      <c r="E30" s="38" t="n">
        <v>5000</v>
      </c>
      <c r="F30" s="38" t="n">
        <v>8000</v>
      </c>
      <c r="G30" s="38" t="n">
        <v>10000</v>
      </c>
      <c r="H30" s="38" t="n">
        <v>12000</v>
      </c>
      <c r="I30" s="38" t="n">
        <v>15000</v>
      </c>
      <c r="J30" s="38" t="n">
        <v>15000</v>
      </c>
      <c r="K30" s="38" t="n">
        <v>15000</v>
      </c>
      <c r="L30" s="38" t="n">
        <v>15000</v>
      </c>
      <c r="M30" s="38" t="n">
        <v>15000</v>
      </c>
      <c r="N30" s="38" t="n">
        <v>15000</v>
      </c>
      <c r="O30" s="38" t="n">
        <v>15000</v>
      </c>
      <c r="P30" s="38" t="n">
        <v>15000</v>
      </c>
      <c r="Q30" s="38" t="n">
        <v>15000</v>
      </c>
      <c r="R30" s="38" t="n">
        <v>15000</v>
      </c>
      <c r="S30" s="38" t="n">
        <v>15000</v>
      </c>
      <c r="T30" s="38" t="n">
        <v>15000</v>
      </c>
    </row>
    <row r="31">
      <c r="A31" s="11" t="inlineStr">
        <is>
          <t>Signups from ads</t>
        </is>
      </c>
      <c r="B31" s="36">
        <f>SUM(C31:T31)</f>
        <v/>
      </c>
      <c r="C31" s="25">
        <f>IF(Inputs!$B$29=0,0,C30/Inputs!$B$29)</f>
        <v/>
      </c>
      <c r="D31" s="25">
        <f>IF(Inputs!$B$29=0,0,D30/Inputs!$B$29)</f>
        <v/>
      </c>
      <c r="E31" s="25">
        <f>IF(Inputs!$B$29=0,0,E30/Inputs!$B$29)</f>
        <v/>
      </c>
      <c r="F31" s="25">
        <f>IF(Inputs!$B$29=0,0,F30/Inputs!$B$29)</f>
        <v/>
      </c>
      <c r="G31" s="25">
        <f>IF(Inputs!$B$29=0,0,G30/Inputs!$B$29)</f>
        <v/>
      </c>
      <c r="H31" s="25">
        <f>IF(Inputs!$B$29=0,0,H30/Inputs!$B$29)</f>
        <v/>
      </c>
      <c r="I31" s="25">
        <f>IF(Inputs!$B$29=0,0,I30/Inputs!$B$29)</f>
        <v/>
      </c>
      <c r="J31" s="25">
        <f>IF(Inputs!$B$29=0,0,J30/Inputs!$B$29)</f>
        <v/>
      </c>
      <c r="K31" s="25">
        <f>IF(Inputs!$B$29=0,0,K30/Inputs!$B$29)</f>
        <v/>
      </c>
      <c r="L31" s="25">
        <f>IF(Inputs!$B$29=0,0,L30/Inputs!$B$29)</f>
        <v/>
      </c>
      <c r="M31" s="25">
        <f>IF(Inputs!$B$29=0,0,M30/Inputs!$B$29)</f>
        <v/>
      </c>
      <c r="N31" s="25">
        <f>IF(Inputs!$B$29=0,0,N30/Inputs!$B$29)</f>
        <v/>
      </c>
      <c r="O31" s="25">
        <f>IF(Inputs!$B$29=0,0,O30/Inputs!$B$29)</f>
        <v/>
      </c>
      <c r="P31" s="25">
        <f>IF(Inputs!$B$29=0,0,P30/Inputs!$B$29)</f>
        <v/>
      </c>
      <c r="Q31" s="25">
        <f>IF(Inputs!$B$29=0,0,Q30/Inputs!$B$29)</f>
        <v/>
      </c>
      <c r="R31" s="25">
        <f>IF(Inputs!$B$29=0,0,R30/Inputs!$B$29)</f>
        <v/>
      </c>
      <c r="S31" s="25">
        <f>IF(Inputs!$B$29=0,0,S30/Inputs!$B$29)</f>
        <v/>
      </c>
      <c r="T31" s="25">
        <f>IF(Inputs!$B$29=0,0,T30/Inputs!$B$29)</f>
        <v/>
      </c>
    </row>
    <row r="32">
      <c r="A32" s="11" t="inlineStr">
        <is>
          <t>Signups, total</t>
        </is>
      </c>
      <c r="B32" s="36">
        <f>SUM(C32:T32)</f>
        <v/>
      </c>
      <c r="C32" s="25">
        <f>C29+C31</f>
        <v/>
      </c>
      <c r="D32" s="25">
        <f>D29+D31</f>
        <v/>
      </c>
      <c r="E32" s="25">
        <f>E29+E31</f>
        <v/>
      </c>
      <c r="F32" s="25">
        <f>F29+F31</f>
        <v/>
      </c>
      <c r="G32" s="25">
        <f>G29+G31</f>
        <v/>
      </c>
      <c r="H32" s="25">
        <f>H29+H31</f>
        <v/>
      </c>
      <c r="I32" s="25">
        <f>I29+I31</f>
        <v/>
      </c>
      <c r="J32" s="25">
        <f>J29+J31</f>
        <v/>
      </c>
      <c r="K32" s="25">
        <f>K29+K31</f>
        <v/>
      </c>
      <c r="L32" s="25">
        <f>L29+L31</f>
        <v/>
      </c>
      <c r="M32" s="25">
        <f>M29+M31</f>
        <v/>
      </c>
      <c r="N32" s="25">
        <f>N29+N31</f>
        <v/>
      </c>
      <c r="O32" s="25">
        <f>O29+O31</f>
        <v/>
      </c>
      <c r="P32" s="25">
        <f>P29+P31</f>
        <v/>
      </c>
      <c r="Q32" s="25">
        <f>Q29+Q31</f>
        <v/>
      </c>
      <c r="R32" s="25">
        <f>R29+R31</f>
        <v/>
      </c>
      <c r="S32" s="25">
        <f>S29+S31</f>
        <v/>
      </c>
      <c r="T32" s="25">
        <f>T29+T31</f>
        <v/>
      </c>
    </row>
    <row r="33">
      <c r="A33" s="11" t="inlineStr">
        <is>
          <t>Families who finish a first lesson</t>
        </is>
      </c>
      <c r="B33" s="36">
        <f>SUM(C33:T33)</f>
        <v/>
      </c>
      <c r="C33" s="25">
        <f>C32*Inputs!$B$26</f>
        <v/>
      </c>
      <c r="D33" s="25">
        <f>D32*Inputs!$B$26</f>
        <v/>
      </c>
      <c r="E33" s="25">
        <f>E32*Inputs!$B$26</f>
        <v/>
      </c>
      <c r="F33" s="25">
        <f>F32*Inputs!$B$26</f>
        <v/>
      </c>
      <c r="G33" s="25">
        <f>G32*Inputs!$B$26</f>
        <v/>
      </c>
      <c r="H33" s="25">
        <f>H32*Inputs!$B$26</f>
        <v/>
      </c>
      <c r="I33" s="25">
        <f>I32*Inputs!$B$26</f>
        <v/>
      </c>
      <c r="J33" s="25">
        <f>J32*Inputs!$B$26</f>
        <v/>
      </c>
      <c r="K33" s="25">
        <f>K32*Inputs!$B$26</f>
        <v/>
      </c>
      <c r="L33" s="25">
        <f>L32*Inputs!$B$26</f>
        <v/>
      </c>
      <c r="M33" s="25">
        <f>M32*Inputs!$B$26</f>
        <v/>
      </c>
      <c r="N33" s="25">
        <f>N32*Inputs!$B$26</f>
        <v/>
      </c>
      <c r="O33" s="25">
        <f>O32*Inputs!$B$26</f>
        <v/>
      </c>
      <c r="P33" s="25">
        <f>P32*Inputs!$B$26</f>
        <v/>
      </c>
      <c r="Q33" s="25">
        <f>Q32*Inputs!$B$26</f>
        <v/>
      </c>
      <c r="R33" s="25">
        <f>R32*Inputs!$B$26</f>
        <v/>
      </c>
      <c r="S33" s="25">
        <f>S32*Inputs!$B$26</f>
        <v/>
      </c>
      <c r="T33" s="25">
        <f>T32*Inputs!$B$26</f>
        <v/>
      </c>
    </row>
    <row r="34">
      <c r="A34" s="11" t="inlineStr">
        <is>
          <t>New paying families</t>
        </is>
      </c>
      <c r="B34" s="36">
        <f>SUM(C34:T34)</f>
        <v/>
      </c>
      <c r="C34" s="24">
        <f>C33*Inputs!$B$27</f>
        <v/>
      </c>
      <c r="D34" s="24">
        <f>D33*Inputs!$B$27</f>
        <v/>
      </c>
      <c r="E34" s="24">
        <f>E33*Inputs!$B$27</f>
        <v/>
      </c>
      <c r="F34" s="24">
        <f>F33*Inputs!$B$27</f>
        <v/>
      </c>
      <c r="G34" s="24">
        <f>G33*Inputs!$B$27</f>
        <v/>
      </c>
      <c r="H34" s="24">
        <f>H33*Inputs!$B$27</f>
        <v/>
      </c>
      <c r="I34" s="24">
        <f>I33*Inputs!$B$27</f>
        <v/>
      </c>
      <c r="J34" s="24">
        <f>J33*Inputs!$B$27</f>
        <v/>
      </c>
      <c r="K34" s="24">
        <f>K33*Inputs!$B$27</f>
        <v/>
      </c>
      <c r="L34" s="24">
        <f>L33*Inputs!$B$27</f>
        <v/>
      </c>
      <c r="M34" s="24">
        <f>M33*Inputs!$B$27</f>
        <v/>
      </c>
      <c r="N34" s="24">
        <f>N33*Inputs!$B$27</f>
        <v/>
      </c>
      <c r="O34" s="24">
        <f>O33*Inputs!$B$27</f>
        <v/>
      </c>
      <c r="P34" s="24">
        <f>P33*Inputs!$B$27</f>
        <v/>
      </c>
      <c r="Q34" s="24">
        <f>Q33*Inputs!$B$27</f>
        <v/>
      </c>
      <c r="R34" s="24">
        <f>R33*Inputs!$B$27</f>
        <v/>
      </c>
      <c r="S34" s="24">
        <f>S33*Inputs!$B$27</f>
        <v/>
      </c>
      <c r="T34" s="24">
        <f>T33*Inputs!$B$27</f>
        <v/>
      </c>
    </row>
    <row r="35">
      <c r="A35" s="26" t="inlineStr">
        <is>
          <t>Paying families (end of month)</t>
        </is>
      </c>
      <c r="B35" s="36">
        <f>T35</f>
        <v/>
      </c>
      <c r="C35" s="34">
        <f>10*(1-Inputs!$B$28)+C34</f>
        <v/>
      </c>
      <c r="D35" s="34">
        <f>C35*(1-Inputs!$B$28)+D34</f>
        <v/>
      </c>
      <c r="E35" s="34">
        <f>D35*(1-Inputs!$B$28)+E34</f>
        <v/>
      </c>
      <c r="F35" s="34">
        <f>E35*(1-Inputs!$B$28)+F34</f>
        <v/>
      </c>
      <c r="G35" s="34">
        <f>F35*(1-Inputs!$B$28)+G34</f>
        <v/>
      </c>
      <c r="H35" s="34">
        <f>G35*(1-Inputs!$B$28)+H34</f>
        <v/>
      </c>
      <c r="I35" s="34">
        <f>H35*(1-Inputs!$B$28)+I34</f>
        <v/>
      </c>
      <c r="J35" s="34">
        <f>I35*(1-Inputs!$B$28)+J34</f>
        <v/>
      </c>
      <c r="K35" s="34">
        <f>J35*(1-Inputs!$B$28)+K34</f>
        <v/>
      </c>
      <c r="L35" s="34">
        <f>K35*(1-Inputs!$B$28)+L34</f>
        <v/>
      </c>
      <c r="M35" s="34">
        <f>L35*(1-Inputs!$B$28)+M34</f>
        <v/>
      </c>
      <c r="N35" s="34">
        <f>M35*(1-Inputs!$B$28)+N34</f>
        <v/>
      </c>
      <c r="O35" s="34">
        <f>N35*(1-Inputs!$B$28)+O34</f>
        <v/>
      </c>
      <c r="P35" s="34">
        <f>O35*(1-Inputs!$B$28)+P34</f>
        <v/>
      </c>
      <c r="Q35" s="34">
        <f>P35*(1-Inputs!$B$28)+Q34</f>
        <v/>
      </c>
      <c r="R35" s="34">
        <f>Q35*(1-Inputs!$B$28)+R34</f>
        <v/>
      </c>
      <c r="S35" s="34">
        <f>R35*(1-Inputs!$B$28)+S34</f>
        <v/>
      </c>
      <c r="T35" s="34">
        <f>S35*(1-Inputs!$B$28)+T34</f>
        <v/>
      </c>
    </row>
    <row r="36">
      <c r="A36" s="11" t="inlineStr">
        <is>
          <t>Net revenue (zł)</t>
        </is>
      </c>
      <c r="B36" s="37">
        <f>SUM(C36:T36)</f>
        <v/>
      </c>
      <c r="C36" s="21">
        <f>C35*'Unit economics'!$B$21</f>
        <v/>
      </c>
      <c r="D36" s="21">
        <f>D35*'Unit economics'!$B$21</f>
        <v/>
      </c>
      <c r="E36" s="21">
        <f>E35*'Unit economics'!$B$21</f>
        <v/>
      </c>
      <c r="F36" s="21">
        <f>F35*'Unit economics'!$B$21</f>
        <v/>
      </c>
      <c r="G36" s="21">
        <f>G35*'Unit economics'!$B$21</f>
        <v/>
      </c>
      <c r="H36" s="21">
        <f>H35*'Unit economics'!$B$21</f>
        <v/>
      </c>
      <c r="I36" s="21">
        <f>I35*'Unit economics'!$B$21</f>
        <v/>
      </c>
      <c r="J36" s="21">
        <f>J35*'Unit economics'!$B$21</f>
        <v/>
      </c>
      <c r="K36" s="21">
        <f>K35*'Unit economics'!$B$21</f>
        <v/>
      </c>
      <c r="L36" s="21">
        <f>L35*'Unit economics'!$B$21</f>
        <v/>
      </c>
      <c r="M36" s="21">
        <f>M35*'Unit economics'!$B$21</f>
        <v/>
      </c>
      <c r="N36" s="21">
        <f>N35*'Unit economics'!$B$21</f>
        <v/>
      </c>
      <c r="O36" s="21">
        <f>O35*'Unit economics'!$B$21</f>
        <v/>
      </c>
      <c r="P36" s="21">
        <f>P35*'Unit economics'!$B$21</f>
        <v/>
      </c>
      <c r="Q36" s="21">
        <f>Q35*'Unit economics'!$B$21</f>
        <v/>
      </c>
      <c r="R36" s="21">
        <f>R35*'Unit economics'!$B$21</f>
        <v/>
      </c>
      <c r="S36" s="21">
        <f>S35*'Unit economics'!$B$21</f>
        <v/>
      </c>
      <c r="T36" s="21">
        <f>T35*'Unit economics'!$B$21</f>
        <v/>
      </c>
    </row>
    <row r="37">
      <c r="A37" s="11" t="inlineStr">
        <is>
          <t>AI cost of paying families (zł)</t>
        </is>
      </c>
      <c r="B37" s="37">
        <f>SUM(C37:T37)</f>
        <v/>
      </c>
      <c r="C37" s="21">
        <f>C35*'Unit economics'!$B$22</f>
        <v/>
      </c>
      <c r="D37" s="21">
        <f>D35*'Unit economics'!$B$22</f>
        <v/>
      </c>
      <c r="E37" s="21">
        <f>E35*'Unit economics'!$B$22</f>
        <v/>
      </c>
      <c r="F37" s="21">
        <f>F35*'Unit economics'!$B$22</f>
        <v/>
      </c>
      <c r="G37" s="21">
        <f>G35*'Unit economics'!$B$22</f>
        <v/>
      </c>
      <c r="H37" s="21">
        <f>H35*'Unit economics'!$B$22</f>
        <v/>
      </c>
      <c r="I37" s="21">
        <f>I35*'Unit economics'!$B$22</f>
        <v/>
      </c>
      <c r="J37" s="21">
        <f>J35*'Unit economics'!$B$22</f>
        <v/>
      </c>
      <c r="K37" s="21">
        <f>K35*'Unit economics'!$B$22</f>
        <v/>
      </c>
      <c r="L37" s="21">
        <f>L35*'Unit economics'!$B$22</f>
        <v/>
      </c>
      <c r="M37" s="21">
        <f>M35*'Unit economics'!$B$22</f>
        <v/>
      </c>
      <c r="N37" s="21">
        <f>N35*'Unit economics'!$B$22</f>
        <v/>
      </c>
      <c r="O37" s="21">
        <f>O35*'Unit economics'!$B$22</f>
        <v/>
      </c>
      <c r="P37" s="21">
        <f>P35*'Unit economics'!$B$22</f>
        <v/>
      </c>
      <c r="Q37" s="21">
        <f>Q35*'Unit economics'!$B$22</f>
        <v/>
      </c>
      <c r="R37" s="21">
        <f>R35*'Unit economics'!$B$22</f>
        <v/>
      </c>
      <c r="S37" s="21">
        <f>S35*'Unit economics'!$B$22</f>
        <v/>
      </c>
      <c r="T37" s="21">
        <f>T35*'Unit economics'!$B$22</f>
        <v/>
      </c>
    </row>
    <row r="38">
      <c r="A38" s="11" t="inlineStr">
        <is>
          <t>AI cost of free accounts (zł)</t>
        </is>
      </c>
      <c r="B38" s="37">
        <f>SUM(C38:T38)</f>
        <v/>
      </c>
      <c r="C38" s="21">
        <f>C33*Inputs!$B$15</f>
        <v/>
      </c>
      <c r="D38" s="21">
        <f>D33*Inputs!$B$15</f>
        <v/>
      </c>
      <c r="E38" s="21">
        <f>E33*Inputs!$B$15</f>
        <v/>
      </c>
      <c r="F38" s="21">
        <f>F33*Inputs!$B$15</f>
        <v/>
      </c>
      <c r="G38" s="21">
        <f>G33*Inputs!$B$15</f>
        <v/>
      </c>
      <c r="H38" s="21">
        <f>H33*Inputs!$B$15</f>
        <v/>
      </c>
      <c r="I38" s="21">
        <f>I33*Inputs!$B$15</f>
        <v/>
      </c>
      <c r="J38" s="21">
        <f>J33*Inputs!$B$15</f>
        <v/>
      </c>
      <c r="K38" s="21">
        <f>K33*Inputs!$B$15</f>
        <v/>
      </c>
      <c r="L38" s="21">
        <f>L33*Inputs!$B$15</f>
        <v/>
      </c>
      <c r="M38" s="21">
        <f>M33*Inputs!$B$15</f>
        <v/>
      </c>
      <c r="N38" s="21">
        <f>N33*Inputs!$B$15</f>
        <v/>
      </c>
      <c r="O38" s="21">
        <f>O33*Inputs!$B$15</f>
        <v/>
      </c>
      <c r="P38" s="21">
        <f>P33*Inputs!$B$15</f>
        <v/>
      </c>
      <c r="Q38" s="21">
        <f>Q33*Inputs!$B$15</f>
        <v/>
      </c>
      <c r="R38" s="21">
        <f>R33*Inputs!$B$15</f>
        <v/>
      </c>
      <c r="S38" s="21">
        <f>S33*Inputs!$B$15</f>
        <v/>
      </c>
      <c r="T38" s="21">
        <f>T33*Inputs!$B$15</f>
        <v/>
      </c>
    </row>
    <row r="39">
      <c r="A39" s="11" t="inlineStr">
        <is>
          <t>Payment fees (zł)</t>
        </is>
      </c>
      <c r="B39" s="37">
        <f>SUM(C39:T39)</f>
        <v/>
      </c>
      <c r="C39" s="21">
        <f>C35*'Unit economics'!$B$23</f>
        <v/>
      </c>
      <c r="D39" s="21">
        <f>D35*'Unit economics'!$B$23</f>
        <v/>
      </c>
      <c r="E39" s="21">
        <f>E35*'Unit economics'!$B$23</f>
        <v/>
      </c>
      <c r="F39" s="21">
        <f>F35*'Unit economics'!$B$23</f>
        <v/>
      </c>
      <c r="G39" s="21">
        <f>G35*'Unit economics'!$B$23</f>
        <v/>
      </c>
      <c r="H39" s="21">
        <f>H35*'Unit economics'!$B$23</f>
        <v/>
      </c>
      <c r="I39" s="21">
        <f>I35*'Unit economics'!$B$23</f>
        <v/>
      </c>
      <c r="J39" s="21">
        <f>J35*'Unit economics'!$B$23</f>
        <v/>
      </c>
      <c r="K39" s="21">
        <f>K35*'Unit economics'!$B$23</f>
        <v/>
      </c>
      <c r="L39" s="21">
        <f>L35*'Unit economics'!$B$23</f>
        <v/>
      </c>
      <c r="M39" s="21">
        <f>M35*'Unit economics'!$B$23</f>
        <v/>
      </c>
      <c r="N39" s="21">
        <f>N35*'Unit economics'!$B$23</f>
        <v/>
      </c>
      <c r="O39" s="21">
        <f>O35*'Unit economics'!$B$23</f>
        <v/>
      </c>
      <c r="P39" s="21">
        <f>P35*'Unit economics'!$B$23</f>
        <v/>
      </c>
      <c r="Q39" s="21">
        <f>Q35*'Unit economics'!$B$23</f>
        <v/>
      </c>
      <c r="R39" s="21">
        <f>R35*'Unit economics'!$B$23</f>
        <v/>
      </c>
      <c r="S39" s="21">
        <f>S35*'Unit economics'!$B$23</f>
        <v/>
      </c>
      <c r="T39" s="21">
        <f>T35*'Unit economics'!$B$23</f>
        <v/>
      </c>
    </row>
    <row r="40">
      <c r="A40" s="26" t="inlineStr">
        <is>
          <t>Contribution (zł)</t>
        </is>
      </c>
      <c r="B40" s="37">
        <f>SUM(C40:T40)</f>
        <v/>
      </c>
      <c r="C40" s="29">
        <f>C36-C37-C38-C39</f>
        <v/>
      </c>
      <c r="D40" s="29">
        <f>D36-D37-D38-D39</f>
        <v/>
      </c>
      <c r="E40" s="29">
        <f>E36-E37-E38-E39</f>
        <v/>
      </c>
      <c r="F40" s="29">
        <f>F36-F37-F38-F39</f>
        <v/>
      </c>
      <c r="G40" s="29">
        <f>G36-G37-G38-G39</f>
        <v/>
      </c>
      <c r="H40" s="29">
        <f>H36-H37-H38-H39</f>
        <v/>
      </c>
      <c r="I40" s="29">
        <f>I36-I37-I38-I39</f>
        <v/>
      </c>
      <c r="J40" s="29">
        <f>J36-J37-J38-J39</f>
        <v/>
      </c>
      <c r="K40" s="29">
        <f>K36-K37-K38-K39</f>
        <v/>
      </c>
      <c r="L40" s="29">
        <f>L36-L37-L38-L39</f>
        <v/>
      </c>
      <c r="M40" s="29">
        <f>M36-M37-M38-M39</f>
        <v/>
      </c>
      <c r="N40" s="29">
        <f>N36-N37-N38-N39</f>
        <v/>
      </c>
      <c r="O40" s="29">
        <f>O36-O37-O38-O39</f>
        <v/>
      </c>
      <c r="P40" s="29">
        <f>P36-P37-P38-P39</f>
        <v/>
      </c>
      <c r="Q40" s="29">
        <f>Q36-Q37-Q38-Q39</f>
        <v/>
      </c>
      <c r="R40" s="29">
        <f>R36-R37-R38-R39</f>
        <v/>
      </c>
      <c r="S40" s="29">
        <f>S36-S37-S38-S39</f>
        <v/>
      </c>
      <c r="T40" s="29">
        <f>T36-T37-T38-T39</f>
        <v/>
      </c>
    </row>
    <row r="41">
      <c r="A41" s="11" t="inlineStr">
        <is>
          <t>Founder pay (zł)</t>
        </is>
      </c>
      <c r="B41" s="37">
        <f>SUM(C41:T41)</f>
        <v/>
      </c>
      <c r="C41" s="38" t="n">
        <v>12000</v>
      </c>
      <c r="D41" s="38" t="n">
        <v>12000</v>
      </c>
      <c r="E41" s="38" t="n">
        <v>12000</v>
      </c>
      <c r="F41" s="38" t="n">
        <v>12000</v>
      </c>
      <c r="G41" s="38" t="n">
        <v>12000</v>
      </c>
      <c r="H41" s="38" t="n">
        <v>12000</v>
      </c>
      <c r="I41" s="38" t="n">
        <v>12000</v>
      </c>
      <c r="J41" s="38" t="n">
        <v>12000</v>
      </c>
      <c r="K41" s="38" t="n">
        <v>12000</v>
      </c>
      <c r="L41" s="38" t="n">
        <v>12000</v>
      </c>
      <c r="M41" s="38" t="n">
        <v>12000</v>
      </c>
      <c r="N41" s="38" t="n">
        <v>12000</v>
      </c>
      <c r="O41" s="38" t="n">
        <v>12000</v>
      </c>
      <c r="P41" s="38" t="n">
        <v>12000</v>
      </c>
      <c r="Q41" s="38" t="n">
        <v>12000</v>
      </c>
      <c r="R41" s="38" t="n">
        <v>12000</v>
      </c>
      <c r="S41" s="38" t="n">
        <v>12000</v>
      </c>
      <c r="T41" s="38" t="n">
        <v>12000</v>
      </c>
    </row>
    <row r="42">
      <c r="A42" s="11" t="inlineStr">
        <is>
          <t>Growth / community hire (zł)</t>
        </is>
      </c>
      <c r="B42" s="37">
        <f>SUM(C42:T42)</f>
        <v/>
      </c>
      <c r="C42" s="38" t="n">
        <v>0</v>
      </c>
      <c r="D42" s="38" t="n">
        <v>0</v>
      </c>
      <c r="E42" s="38" t="n">
        <v>14000</v>
      </c>
      <c r="F42" s="38" t="n">
        <v>14000</v>
      </c>
      <c r="G42" s="38" t="n">
        <v>14000</v>
      </c>
      <c r="H42" s="38" t="n">
        <v>14000</v>
      </c>
      <c r="I42" s="38" t="n">
        <v>14000</v>
      </c>
      <c r="J42" s="38" t="n">
        <v>14000</v>
      </c>
      <c r="K42" s="38" t="n">
        <v>14000</v>
      </c>
      <c r="L42" s="38" t="n">
        <v>14000</v>
      </c>
      <c r="M42" s="38" t="n">
        <v>14000</v>
      </c>
      <c r="N42" s="38" t="n">
        <v>14000</v>
      </c>
      <c r="O42" s="38" t="n">
        <v>14000</v>
      </c>
      <c r="P42" s="38" t="n">
        <v>14000</v>
      </c>
      <c r="Q42" s="38" t="n">
        <v>14000</v>
      </c>
      <c r="R42" s="38" t="n">
        <v>14000</v>
      </c>
      <c r="S42" s="38" t="n">
        <v>14000</v>
      </c>
      <c r="T42" s="38" t="n">
        <v>14000</v>
      </c>
    </row>
    <row r="43">
      <c r="A43" s="11" t="inlineStr">
        <is>
          <t>Pedagogy &amp; content lead, part-time (zł)</t>
        </is>
      </c>
      <c r="B43" s="37">
        <f>SUM(C43:T43)</f>
        <v/>
      </c>
      <c r="C43" s="38" t="n">
        <v>0</v>
      </c>
      <c r="D43" s="38" t="n">
        <v>0</v>
      </c>
      <c r="E43" s="38" t="n">
        <v>6000</v>
      </c>
      <c r="F43" s="38" t="n">
        <v>6000</v>
      </c>
      <c r="G43" s="38" t="n">
        <v>6000</v>
      </c>
      <c r="H43" s="38" t="n">
        <v>6000</v>
      </c>
      <c r="I43" s="38" t="n">
        <v>6000</v>
      </c>
      <c r="J43" s="38" t="n">
        <v>6000</v>
      </c>
      <c r="K43" s="38" t="n">
        <v>6000</v>
      </c>
      <c r="L43" s="38" t="n">
        <v>6000</v>
      </c>
      <c r="M43" s="38" t="n">
        <v>6000</v>
      </c>
      <c r="N43" s="38" t="n">
        <v>6000</v>
      </c>
      <c r="O43" s="38" t="n">
        <v>6000</v>
      </c>
      <c r="P43" s="38" t="n">
        <v>6000</v>
      </c>
      <c r="Q43" s="38" t="n">
        <v>6000</v>
      </c>
      <c r="R43" s="38" t="n">
        <v>6000</v>
      </c>
      <c r="S43" s="38" t="n">
        <v>6000</v>
      </c>
      <c r="T43" s="38" t="n">
        <v>6000</v>
      </c>
    </row>
    <row r="44">
      <c r="A44" s="11" t="inlineStr">
        <is>
          <t>Mobile apps &amp; design contractor (zł)</t>
        </is>
      </c>
      <c r="B44" s="37">
        <f>SUM(C44:T44)</f>
        <v/>
      </c>
      <c r="C44" s="38" t="n">
        <v>0</v>
      </c>
      <c r="D44" s="38" t="n">
        <v>0</v>
      </c>
      <c r="E44" s="38" t="n">
        <v>0</v>
      </c>
      <c r="F44" s="38" t="n">
        <v>10000</v>
      </c>
      <c r="G44" s="38" t="n">
        <v>10000</v>
      </c>
      <c r="H44" s="38" t="n">
        <v>10000</v>
      </c>
      <c r="I44" s="38" t="n">
        <v>10000</v>
      </c>
      <c r="J44" s="38" t="n">
        <v>10000</v>
      </c>
      <c r="K44" s="38" t="n">
        <v>10000</v>
      </c>
      <c r="L44" s="38" t="n">
        <v>0</v>
      </c>
      <c r="M44" s="38" t="n">
        <v>0</v>
      </c>
      <c r="N44" s="38" t="n">
        <v>0</v>
      </c>
      <c r="O44" s="38" t="n">
        <v>0</v>
      </c>
      <c r="P44" s="38" t="n">
        <v>0</v>
      </c>
      <c r="Q44" s="38" t="n">
        <v>0</v>
      </c>
      <c r="R44" s="38" t="n">
        <v>0</v>
      </c>
      <c r="S44" s="38" t="n">
        <v>0</v>
      </c>
      <c r="T44" s="38" t="n">
        <v>0</v>
      </c>
    </row>
    <row r="45">
      <c r="A45" s="11" t="inlineStr">
        <is>
          <t>Legal, accounting, Polish company (zł)</t>
        </is>
      </c>
      <c r="B45" s="37">
        <f>SUM(C45:T45)</f>
        <v/>
      </c>
      <c r="C45" s="38" t="n">
        <v>1500</v>
      </c>
      <c r="D45" s="38" t="n">
        <v>15000</v>
      </c>
      <c r="E45" s="38" t="n">
        <v>1500</v>
      </c>
      <c r="F45" s="38" t="n">
        <v>1500</v>
      </c>
      <c r="G45" s="38" t="n">
        <v>1500</v>
      </c>
      <c r="H45" s="38" t="n">
        <v>1500</v>
      </c>
      <c r="I45" s="38" t="n">
        <v>1500</v>
      </c>
      <c r="J45" s="38" t="n">
        <v>1500</v>
      </c>
      <c r="K45" s="38" t="n">
        <v>1500</v>
      </c>
      <c r="L45" s="38" t="n">
        <v>1500</v>
      </c>
      <c r="M45" s="38" t="n">
        <v>1500</v>
      </c>
      <c r="N45" s="38" t="n">
        <v>1500</v>
      </c>
      <c r="O45" s="38" t="n">
        <v>1500</v>
      </c>
      <c r="P45" s="38" t="n">
        <v>1500</v>
      </c>
      <c r="Q45" s="38" t="n">
        <v>1500</v>
      </c>
      <c r="R45" s="38" t="n">
        <v>1500</v>
      </c>
      <c r="S45" s="38" t="n">
        <v>1500</v>
      </c>
      <c r="T45" s="38" t="n">
        <v>1500</v>
      </c>
    </row>
    <row r="46">
      <c r="A46" s="11" t="inlineStr">
        <is>
          <t>Infrastructure &amp; tools (zł)</t>
        </is>
      </c>
      <c r="B46" s="37">
        <f>SUM(C46:T46)</f>
        <v/>
      </c>
      <c r="C46" s="38" t="n">
        <v>1500</v>
      </c>
      <c r="D46" s="38" t="n">
        <v>1500</v>
      </c>
      <c r="E46" s="38" t="n">
        <v>1500</v>
      </c>
      <c r="F46" s="38" t="n">
        <v>1500</v>
      </c>
      <c r="G46" s="38" t="n">
        <v>1500</v>
      </c>
      <c r="H46" s="38" t="n">
        <v>1500</v>
      </c>
      <c r="I46" s="38" t="n">
        <v>1500</v>
      </c>
      <c r="J46" s="38" t="n">
        <v>1500</v>
      </c>
      <c r="K46" s="38" t="n">
        <v>1500</v>
      </c>
      <c r="L46" s="38" t="n">
        <v>1500</v>
      </c>
      <c r="M46" s="38" t="n">
        <v>1500</v>
      </c>
      <c r="N46" s="38" t="n">
        <v>1500</v>
      </c>
      <c r="O46" s="38" t="n">
        <v>1500</v>
      </c>
      <c r="P46" s="38" t="n">
        <v>1500</v>
      </c>
      <c r="Q46" s="38" t="n">
        <v>1500</v>
      </c>
      <c r="R46" s="38" t="n">
        <v>1500</v>
      </c>
      <c r="S46" s="38" t="n">
        <v>1500</v>
      </c>
      <c r="T46" s="38" t="n">
        <v>1500</v>
      </c>
    </row>
    <row r="47">
      <c r="A47" s="11" t="inlineStr">
        <is>
          <t>Team &amp; operations (zł)</t>
        </is>
      </c>
      <c r="B47" s="37">
        <f>SUM(C47:T47)</f>
        <v/>
      </c>
      <c r="C47" s="21">
        <f>SUM(C41:C46)</f>
        <v/>
      </c>
      <c r="D47" s="21">
        <f>SUM(D41:D46)</f>
        <v/>
      </c>
      <c r="E47" s="21">
        <f>SUM(E41:E46)</f>
        <v/>
      </c>
      <c r="F47" s="21">
        <f>SUM(F41:F46)</f>
        <v/>
      </c>
      <c r="G47" s="21">
        <f>SUM(G41:G46)</f>
        <v/>
      </c>
      <c r="H47" s="21">
        <f>SUM(H41:H46)</f>
        <v/>
      </c>
      <c r="I47" s="21">
        <f>SUM(I41:I46)</f>
        <v/>
      </c>
      <c r="J47" s="21">
        <f>SUM(J41:J46)</f>
        <v/>
      </c>
      <c r="K47" s="21">
        <f>SUM(K41:K46)</f>
        <v/>
      </c>
      <c r="L47" s="21">
        <f>SUM(L41:L46)</f>
        <v/>
      </c>
      <c r="M47" s="21">
        <f>SUM(M41:M46)</f>
        <v/>
      </c>
      <c r="N47" s="21">
        <f>SUM(N41:N46)</f>
        <v/>
      </c>
      <c r="O47" s="21">
        <f>SUM(O41:O46)</f>
        <v/>
      </c>
      <c r="P47" s="21">
        <f>SUM(P41:P46)</f>
        <v/>
      </c>
      <c r="Q47" s="21">
        <f>SUM(Q41:Q46)</f>
        <v/>
      </c>
      <c r="R47" s="21">
        <f>SUM(R41:R46)</f>
        <v/>
      </c>
      <c r="S47" s="21">
        <f>SUM(S41:S46)</f>
        <v/>
      </c>
      <c r="T47" s="21">
        <f>SUM(T41:T46)</f>
        <v/>
      </c>
    </row>
    <row r="48">
      <c r="A48" s="26" t="inlineStr">
        <is>
          <t>Net cash flow (zł)</t>
        </is>
      </c>
      <c r="B48" s="37">
        <f>SUM(C48:T48)</f>
        <v/>
      </c>
      <c r="C48" s="29">
        <f>C40-C47-C30</f>
        <v/>
      </c>
      <c r="D48" s="29">
        <f>D40-D47-D30</f>
        <v/>
      </c>
      <c r="E48" s="29">
        <f>E40-E47-E30</f>
        <v/>
      </c>
      <c r="F48" s="29">
        <f>F40-F47-F30</f>
        <v/>
      </c>
      <c r="G48" s="29">
        <f>G40-G47-G30</f>
        <v/>
      </c>
      <c r="H48" s="29">
        <f>H40-H47-H30</f>
        <v/>
      </c>
      <c r="I48" s="29">
        <f>I40-I47-I30</f>
        <v/>
      </c>
      <c r="J48" s="29">
        <f>J40-J47-J30</f>
        <v/>
      </c>
      <c r="K48" s="29">
        <f>K40-K47-K30</f>
        <v/>
      </c>
      <c r="L48" s="29">
        <f>L40-L47-L30</f>
        <v/>
      </c>
      <c r="M48" s="29">
        <f>M40-M47-M30</f>
        <v/>
      </c>
      <c r="N48" s="29">
        <f>N40-N47-N30</f>
        <v/>
      </c>
      <c r="O48" s="29">
        <f>O40-O47-O30</f>
        <v/>
      </c>
      <c r="P48" s="29">
        <f>P40-P47-P30</f>
        <v/>
      </c>
      <c r="Q48" s="29">
        <f>Q40-Q47-Q30</f>
        <v/>
      </c>
      <c r="R48" s="29">
        <f>R40-R47-R30</f>
        <v/>
      </c>
      <c r="S48" s="29">
        <f>S40-S47-S30</f>
        <v/>
      </c>
      <c r="T48" s="29">
        <f>T40-T47-T30</f>
        <v/>
      </c>
    </row>
    <row r="49">
      <c r="A49" s="26" t="inlineStr">
        <is>
          <t>Cash at end of month (zł)</t>
        </is>
      </c>
      <c r="B49" s="37">
        <f>T49</f>
        <v/>
      </c>
      <c r="C49" s="29">
        <f>Inputs!$B$38+C48</f>
        <v/>
      </c>
      <c r="D49" s="29">
        <f>C49+D48</f>
        <v/>
      </c>
      <c r="E49" s="29">
        <f>D49+E48</f>
        <v/>
      </c>
      <c r="F49" s="29">
        <f>E49+F48</f>
        <v/>
      </c>
      <c r="G49" s="29">
        <f>F49+G48</f>
        <v/>
      </c>
      <c r="H49" s="29">
        <f>G49+H48</f>
        <v/>
      </c>
      <c r="I49" s="29">
        <f>H49+I48</f>
        <v/>
      </c>
      <c r="J49" s="29">
        <f>I49+J48</f>
        <v/>
      </c>
      <c r="K49" s="29">
        <f>J49+K48</f>
        <v/>
      </c>
      <c r="L49" s="29">
        <f>K49+L48</f>
        <v/>
      </c>
      <c r="M49" s="29">
        <f>L49+M48</f>
        <v/>
      </c>
      <c r="N49" s="29">
        <f>M49+N48</f>
        <v/>
      </c>
      <c r="O49" s="29">
        <f>N49+O48</f>
        <v/>
      </c>
      <c r="P49" s="29">
        <f>O49+P48</f>
        <v/>
      </c>
      <c r="Q49" s="29">
        <f>P49+Q48</f>
        <v/>
      </c>
      <c r="R49" s="29">
        <f>Q49+R48</f>
        <v/>
      </c>
      <c r="S49" s="29">
        <f>R49+S48</f>
        <v/>
      </c>
      <c r="T49" s="29">
        <f>S49+T48</f>
        <v/>
      </c>
    </row>
    <row r="50">
      <c r="A50" s="7" t="n"/>
      <c r="B50" s="7" t="n"/>
      <c r="C50" s="7" t="n"/>
      <c r="D50" s="7" t="n"/>
      <c r="E50" s="7" t="n"/>
      <c r="F50" s="7" t="n"/>
      <c r="G50" s="7" t="n"/>
      <c r="H50" s="7" t="n"/>
      <c r="I50" s="7" t="n"/>
      <c r="J50" s="7" t="n"/>
      <c r="K50" s="7" t="n"/>
      <c r="L50" s="7" t="n"/>
      <c r="M50" s="7" t="n"/>
      <c r="N50" s="7" t="n"/>
      <c r="O50" s="7" t="n"/>
      <c r="P50" s="7" t="n"/>
      <c r="Q50" s="7" t="n"/>
      <c r="R50" s="7" t="n"/>
      <c r="S50" s="7" t="n"/>
      <c r="T50" s="7" t="n"/>
    </row>
    <row r="51">
      <c r="A51" s="10" t="inlineStr">
        <is>
          <t>Key results</t>
        </is>
      </c>
      <c r="B51" s="7" t="n"/>
      <c r="C51" s="7" t="n"/>
      <c r="D51" s="7" t="n"/>
      <c r="E51" s="7" t="n"/>
      <c r="F51" s="7" t="n"/>
      <c r="G51" s="7" t="n"/>
      <c r="H51" s="7" t="n"/>
      <c r="I51" s="7" t="n"/>
      <c r="J51" s="7" t="n"/>
      <c r="K51" s="7" t="n"/>
      <c r="L51" s="7" t="n"/>
      <c r="M51" s="7" t="n"/>
      <c r="N51" s="7" t="n"/>
      <c r="O51" s="7" t="n"/>
      <c r="P51" s="7" t="n"/>
      <c r="Q51" s="7" t="n"/>
      <c r="R51" s="7" t="n"/>
      <c r="S51" s="7" t="n"/>
      <c r="T51" s="7" t="n"/>
    </row>
    <row r="52">
      <c r="A52" s="11" t="inlineStr">
        <is>
          <t>Paying families at month 18: bootstrapped</t>
        </is>
      </c>
      <c r="B52" s="34">
        <f>B12</f>
        <v/>
      </c>
      <c r="C52" s="7" t="n"/>
      <c r="D52" s="7" t="n"/>
      <c r="E52" s="7" t="n"/>
      <c r="F52" s="7" t="n"/>
      <c r="G52" s="7" t="n"/>
      <c r="H52" s="7" t="n"/>
      <c r="I52" s="7" t="n"/>
      <c r="J52" s="7" t="n"/>
      <c r="K52" s="7" t="n"/>
      <c r="L52" s="7" t="n"/>
      <c r="M52" s="7" t="n"/>
      <c r="N52" s="7" t="n"/>
      <c r="O52" s="7" t="n"/>
      <c r="P52" s="7" t="n"/>
      <c r="Q52" s="7" t="n"/>
      <c r="R52" s="7" t="n"/>
      <c r="S52" s="7" t="n"/>
      <c r="T52" s="7" t="n"/>
    </row>
    <row r="53">
      <c r="A53" s="11" t="inlineStr">
        <is>
          <t>Paying families at month 18: pre-seed</t>
        </is>
      </c>
      <c r="B53" s="34">
        <f>B35</f>
        <v/>
      </c>
      <c r="C53" s="7" t="n"/>
      <c r="D53" s="7" t="n"/>
      <c r="E53" s="7" t="n"/>
      <c r="F53" s="7" t="n"/>
      <c r="G53" s="7" t="n"/>
      <c r="H53" s="7" t="n"/>
      <c r="I53" s="7" t="n"/>
      <c r="J53" s="7" t="n"/>
      <c r="K53" s="7" t="n"/>
      <c r="L53" s="7" t="n"/>
      <c r="M53" s="7" t="n"/>
      <c r="N53" s="7" t="n"/>
      <c r="O53" s="7" t="n"/>
      <c r="P53" s="7" t="n"/>
      <c r="Q53" s="7" t="n"/>
      <c r="R53" s="7" t="n"/>
      <c r="S53" s="7" t="n"/>
      <c r="T53" s="7" t="n"/>
    </row>
    <row r="54">
      <c r="A54" s="11" t="inlineStr">
        <is>
          <t>Monthly net revenue at month 18: pre-seed (zł)</t>
        </is>
      </c>
      <c r="B54" s="29">
        <f>T36</f>
        <v/>
      </c>
      <c r="C54" s="7" t="n"/>
      <c r="D54" s="7" t="n"/>
      <c r="E54" s="7" t="n"/>
      <c r="F54" s="7" t="n"/>
      <c r="G54" s="7" t="n"/>
      <c r="H54" s="7" t="n"/>
      <c r="I54" s="7" t="n"/>
      <c r="J54" s="7" t="n"/>
      <c r="K54" s="7" t="n"/>
      <c r="L54" s="7" t="n"/>
      <c r="M54" s="7" t="n"/>
      <c r="N54" s="7" t="n"/>
      <c r="O54" s="7" t="n"/>
      <c r="P54" s="7" t="n"/>
      <c r="Q54" s="7" t="n"/>
      <c r="R54" s="7" t="n"/>
      <c r="S54" s="7" t="n"/>
      <c r="T54" s="7" t="n"/>
    </row>
    <row r="55">
      <c r="A55" s="11" t="inlineStr">
        <is>
          <t>Lowest cash point: pre-seed (zł)</t>
        </is>
      </c>
      <c r="B55" s="29">
        <f>MIN(C49:T49)</f>
        <v/>
      </c>
      <c r="C55" s="7" t="n"/>
      <c r="D55" s="7" t="n"/>
      <c r="E55" s="7" t="n"/>
      <c r="F55" s="7" t="n"/>
      <c r="G55" s="7" t="n"/>
      <c r="H55" s="7" t="n"/>
      <c r="I55" s="7" t="n"/>
      <c r="J55" s="7" t="n"/>
      <c r="K55" s="7" t="n"/>
      <c r="L55" s="7" t="n"/>
      <c r="M55" s="7" t="n"/>
      <c r="N55" s="7" t="n"/>
      <c r="O55" s="7" t="n"/>
      <c r="P55" s="7" t="n"/>
      <c r="Q55" s="7" t="n"/>
      <c r="R55" s="7" t="n"/>
      <c r="S55" s="7" t="n"/>
      <c r="T55" s="7" t="n"/>
    </row>
    <row r="56">
      <c r="A56" s="11" t="inlineStr">
        <is>
          <t>Cash left at month 18: pre-seed (zł)</t>
        </is>
      </c>
      <c r="B56" s="29">
        <f>B49</f>
        <v/>
      </c>
      <c r="C56" s="7" t="n"/>
      <c r="D56" s="7" t="n"/>
      <c r="E56" s="7" t="n"/>
      <c r="F56" s="7" t="n"/>
      <c r="G56" s="7" t="n"/>
      <c r="H56" s="7" t="n"/>
      <c r="I56" s="7" t="n"/>
      <c r="J56" s="7" t="n"/>
      <c r="K56" s="7" t="n"/>
      <c r="L56" s="7" t="n"/>
      <c r="M56" s="7" t="n"/>
      <c r="N56" s="7" t="n"/>
      <c r="O56" s="7" t="n"/>
      <c r="P56" s="7" t="n"/>
      <c r="Q56" s="7" t="n"/>
      <c r="R56" s="7" t="n"/>
      <c r="S56" s="7" t="n"/>
      <c r="T56" s="7" t="n"/>
    </row>
    <row r="57">
      <c r="A57" s="11" t="inlineStr">
        <is>
          <t>Money the bootstrapped path needs over 18 months (zł)</t>
        </is>
      </c>
      <c r="B57" s="29">
        <f>-MIN(0,B26)</f>
        <v/>
      </c>
      <c r="C57" s="7" t="n"/>
      <c r="D57" s="7" t="n"/>
      <c r="E57" s="7" t="n"/>
      <c r="F57" s="7" t="n"/>
      <c r="G57" s="7" t="n"/>
      <c r="H57" s="7" t="n"/>
      <c r="I57" s="7" t="n"/>
      <c r="J57" s="7" t="n"/>
      <c r="K57" s="7" t="n"/>
      <c r="L57" s="7" t="n"/>
      <c r="M57" s="7" t="n"/>
      <c r="N57" s="7" t="n"/>
      <c r="O57" s="7" t="n"/>
      <c r="P57" s="7" t="n"/>
      <c r="Q57" s="7" t="n"/>
      <c r="R57" s="7" t="n"/>
      <c r="S57" s="7" t="n"/>
      <c r="T57" s="7" t="n"/>
    </row>
    <row r="58">
      <c r="A58" s="11" t="inlineStr">
        <is>
          <t>First month the pre-seed plan passes 1,000 paying families</t>
        </is>
      </c>
      <c r="B58" s="26">
        <f>IF(MAX(C35:T35)&gt;=1000,COUNTIF(C35:T35,"&lt;1000")+1,"not in 18 months")</f>
        <v/>
      </c>
      <c r="C58" s="8" t="inlineStr">
        <is>
          <t>(month number; depends entirely on the yellow funnel guesses)</t>
        </is>
      </c>
      <c r="D58" s="7" t="n"/>
      <c r="E58" s="7" t="n"/>
      <c r="F58" s="7" t="n"/>
      <c r="G58" s="7" t="n"/>
      <c r="H58" s="7" t="n"/>
      <c r="I58" s="7" t="n"/>
      <c r="J58" s="7" t="n"/>
      <c r="K58" s="7" t="n"/>
      <c r="L58" s="7" t="n"/>
      <c r="M58" s="7" t="n"/>
      <c r="N58" s="7" t="n"/>
      <c r="O58" s="7" t="n"/>
      <c r="P58" s="7" t="n"/>
      <c r="Q58" s="7" t="n"/>
      <c r="R58" s="7" t="n"/>
      <c r="S58" s="7" t="n"/>
      <c r="T58" s="7"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
  <sheetViews>
    <sheetView showGridLines="0" workbookViewId="0">
      <selection activeCell="A1" sqref="A1"/>
    </sheetView>
  </sheetViews>
  <sheetFormatPr baseColWidth="8" defaultRowHeight="15"/>
  <cols>
    <col width="44" customWidth="1" min="1" max="1"/>
    <col width="16" customWidth="1" min="2" max="2"/>
    <col width="14" customWidth="1" min="3" max="3"/>
    <col width="12" customWidth="1" min="4" max="4"/>
    <col width="60" customWidth="1" min="5" max="5"/>
  </cols>
  <sheetData>
    <row r="1">
      <c r="A1" s="6" t="inlineStr">
        <is>
          <t>Use of funds: €250k pre-seed over 18 months</t>
        </is>
      </c>
      <c r="B1" s="7" t="n"/>
      <c r="C1" s="7" t="n"/>
      <c r="D1" s="7" t="n"/>
      <c r="E1" s="7" t="n"/>
    </row>
    <row r="2">
      <c r="A2" s="8" t="inlineStr">
        <is>
          <t>Pulled from the pre-seed block of Plan 18m (green). Revenue from paying families covers part of the spend; the rest is the round.</t>
        </is>
      </c>
      <c r="B2" s="7" t="n"/>
      <c r="C2" s="7" t="n"/>
      <c r="D2" s="7" t="n"/>
      <c r="E2" s="7" t="n"/>
    </row>
    <row r="3">
      <c r="A3" s="7" t="n"/>
      <c r="B3" s="7" t="n"/>
      <c r="C3" s="7" t="n"/>
      <c r="D3" s="7" t="n"/>
      <c r="E3" s="7" t="n"/>
    </row>
    <row r="4">
      <c r="A4" s="9" t="inlineStr">
        <is>
          <t>Where the money goes</t>
        </is>
      </c>
      <c r="B4" s="9" t="inlineStr">
        <is>
          <t>18 months (zł)</t>
        </is>
      </c>
      <c r="C4" s="9" t="inlineStr">
        <is>
          <t>(€)</t>
        </is>
      </c>
      <c r="D4" s="9" t="inlineStr">
        <is>
          <t>Share</t>
        </is>
      </c>
      <c r="E4" s="9" t="inlineStr">
        <is>
          <t>Why</t>
        </is>
      </c>
    </row>
    <row r="5">
      <c r="A5" s="11" t="inlineStr">
        <is>
          <t>Ads and growth tests</t>
        </is>
      </c>
      <c r="B5" s="39">
        <f>'Plan 18m'!B30</f>
        <v/>
      </c>
      <c r="C5" s="40">
        <f>B5/Inputs!$B$7</f>
        <v/>
      </c>
      <c r="D5" s="27">
        <f>IF($B$15=0,0,B5/$B$15)</f>
        <v/>
      </c>
      <c r="E5" s="8" t="inlineStr">
        <is>
          <t>Find one channel where a paying family costs &lt; 1/3 of its lifetime value</t>
        </is>
      </c>
    </row>
    <row r="6">
      <c r="A6" s="11" t="inlineStr">
        <is>
          <t>Founder pay</t>
        </is>
      </c>
      <c r="B6" s="39">
        <f>'Plan 18m'!B41</f>
        <v/>
      </c>
      <c r="C6" s="40">
        <f>B6/Inputs!$B$7</f>
        <v/>
      </c>
      <c r="D6" s="27">
        <f>IF($B$15=0,0,B6/$B$15)</f>
        <v/>
      </c>
      <c r="E6" s="8" t="inlineStr">
        <is>
          <t>Full-time on KidStella; 12,000 zł/month all-in</t>
        </is>
      </c>
    </row>
    <row r="7">
      <c r="A7" s="11" t="inlineStr">
        <is>
          <t>Growth / community hire (from month 3)</t>
        </is>
      </c>
      <c r="B7" s="39">
        <f>'Plan 18m'!B42</f>
        <v/>
      </c>
      <c r="C7" s="40">
        <f>B7/Inputs!$B$7</f>
        <v/>
      </c>
      <c r="D7" s="27">
        <f>IF($B$15=0,0,B7/$B$15)</f>
        <v/>
      </c>
      <c r="E7" s="8" t="inlineStr">
        <is>
          <t>Content, parent groups, partnerships with specialists</t>
        </is>
      </c>
    </row>
    <row r="8">
      <c r="A8" s="11" t="inlineStr">
        <is>
          <t>Pedagogy &amp; content lead, part-time (from month 3)</t>
        </is>
      </c>
      <c r="B8" s="39">
        <f>'Plan 18m'!B43</f>
        <v/>
      </c>
      <c r="C8" s="40">
        <f>B8/Inputs!$B$7</f>
        <v/>
      </c>
      <c r="D8" s="27">
        <f>IF($B$15=0,0,B8/$B$15)</f>
        <v/>
      </c>
      <c r="E8" s="8" t="inlineStr">
        <is>
          <t>Program library quality; the method parents and kindergartens trust</t>
        </is>
      </c>
    </row>
    <row r="9">
      <c r="A9" s="11" t="inlineStr">
        <is>
          <t>Mobile apps &amp; design (months 4–9)</t>
        </is>
      </c>
      <c r="B9" s="39">
        <f>'Plan 18m'!B44</f>
        <v/>
      </c>
      <c r="C9" s="40">
        <f>B9/Inputs!$B$7</f>
        <v/>
      </c>
      <c r="D9" s="27">
        <f>IF($B$15=0,0,B9/$B$15)</f>
        <v/>
      </c>
      <c r="E9" s="8" t="inlineStr">
        <is>
          <t>iOS and Android apps after the web app (PWA)</t>
        </is>
      </c>
    </row>
    <row r="10">
      <c r="A10" s="11" t="inlineStr">
        <is>
          <t>Legal, accounting, Polish company</t>
        </is>
      </c>
      <c r="B10" s="39">
        <f>'Plan 18m'!B45</f>
        <v/>
      </c>
      <c r="C10" s="40">
        <f>B10/Inputs!$B$7</f>
        <v/>
      </c>
      <c r="D10" s="27">
        <f>IF($B$15=0,0,B10/$B$15)</f>
        <v/>
      </c>
      <c r="E10" s="8" t="inlineStr">
        <is>
          <t>Polish sp. z o.o. (BLIK, VAT), privacy review, bookkeeping</t>
        </is>
      </c>
    </row>
    <row r="11">
      <c r="A11" s="11" t="inlineStr">
        <is>
          <t>Infrastructure &amp; tools</t>
        </is>
      </c>
      <c r="B11" s="39">
        <f>'Plan 18m'!B46</f>
        <v/>
      </c>
      <c r="C11" s="40">
        <f>B11/Inputs!$B$7</f>
        <v/>
      </c>
      <c r="D11" s="27">
        <f>IF($B$15=0,0,B11/$B$15)</f>
        <v/>
      </c>
      <c r="E11" s="8" t="inlineStr">
        <is>
          <t>Hosting, database, workspace</t>
        </is>
      </c>
    </row>
    <row r="12">
      <c r="A12" s="11" t="inlineStr">
        <is>
          <t>AI cost of free accounts</t>
        </is>
      </c>
      <c r="B12" s="39">
        <f>'Plan 18m'!B38</f>
        <v/>
      </c>
      <c r="C12" s="40">
        <f>B12/Inputs!$B$7</f>
        <v/>
      </c>
      <c r="D12" s="27">
        <f>IF($B$15=0,0,B12/$B$15)</f>
        <v/>
      </c>
      <c r="E12" s="8" t="inlineStr">
        <is>
          <t>Every visitor tries 3 lessons and a Program for free</t>
        </is>
      </c>
    </row>
    <row r="13">
      <c r="A13" s="11" t="inlineStr">
        <is>
          <t>AI cost of paying families</t>
        </is>
      </c>
      <c r="B13" s="39">
        <f>'Plan 18m'!B37</f>
        <v/>
      </c>
      <c r="C13" s="40">
        <f>B13/Inputs!$B$7</f>
        <v/>
      </c>
      <c r="D13" s="27">
        <f>IF($B$15=0,0,B13/$B$15)</f>
        <v/>
      </c>
      <c r="E13" s="8" t="inlineStr">
        <is>
          <t>Covered by their payments; shown for completeness</t>
        </is>
      </c>
    </row>
    <row r="14">
      <c r="A14" s="7" t="n"/>
      <c r="B14" s="7" t="n"/>
      <c r="C14" s="7" t="n"/>
      <c r="D14" s="7" t="n"/>
      <c r="E14" s="7" t="n"/>
    </row>
    <row r="15">
      <c r="A15" s="26" t="inlineStr">
        <is>
          <t>Total spend</t>
        </is>
      </c>
      <c r="B15" s="37">
        <f>SUM(B5:B13)</f>
        <v/>
      </c>
      <c r="C15" s="41">
        <f>B15/Inputs!$B$7</f>
        <v/>
      </c>
      <c r="D15" s="7" t="n"/>
      <c r="E15" s="7" t="n"/>
    </row>
    <row r="16">
      <c r="A16" s="11" t="inlineStr">
        <is>
          <t>Paid for by families' payments (net revenue − fees)</t>
        </is>
      </c>
      <c r="B16" s="39">
        <f>'Plan 18m'!B36-'Plan 18m'!B39</f>
        <v/>
      </c>
      <c r="C16" s="40">
        <f>B16/Inputs!$B$7</f>
        <v/>
      </c>
      <c r="D16" s="7" t="n"/>
      <c r="E16" s="7" t="n"/>
    </row>
    <row r="17">
      <c r="A17" s="26" t="inlineStr">
        <is>
          <t>Paid for by the round</t>
        </is>
      </c>
      <c r="B17" s="29">
        <f>B15-B16</f>
        <v/>
      </c>
      <c r="C17" s="42">
        <f>B17/Inputs!$B$7</f>
        <v/>
      </c>
      <c r="D17" s="7" t="n"/>
      <c r="E17" s="7" t="n"/>
    </row>
    <row r="18">
      <c r="A18" s="11" t="inlineStr">
        <is>
          <t>Round size</t>
        </is>
      </c>
      <c r="B18" s="39">
        <f>Inputs!B38</f>
        <v/>
      </c>
      <c r="C18" s="43">
        <f>Inputs!B37</f>
        <v/>
      </c>
      <c r="D18" s="7" t="n"/>
      <c r="E18" s="7" t="n"/>
    </row>
    <row r="19">
      <c r="A19" s="26" t="inlineStr">
        <is>
          <t>Left as buffer at month 18</t>
        </is>
      </c>
      <c r="B19" s="29">
        <f>B18-B17</f>
        <v/>
      </c>
      <c r="C19" s="42">
        <f>B19/Inputs!$B$7</f>
        <v/>
      </c>
      <c r="D19" s="7" t="n"/>
      <c r="E19" s="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2026-10-23T08:15:57Z</dcterms:created>
  <dcterms:modified xsi:type="dcterms:W3CDTF">2026-10-23T08:15:57Z</dcterms:modified>
</cp:coreProperties>
</file>